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GCG\Desktop\"/>
    </mc:Choice>
  </mc:AlternateContent>
  <xr:revisionPtr revIDLastSave="0" documentId="13_ncr:1_{3B3A1374-D893-4E31-AB0E-B6BB64876E10}" xr6:coauthVersionLast="47" xr6:coauthVersionMax="47" xr10:uidLastSave="{00000000-0000-0000-0000-000000000000}"/>
  <bookViews>
    <workbookView xWindow="-110" yWindow="-110" windowWidth="25820" windowHeight="15500" tabRatio="910" activeTab="11" xr2:uid="{00000000-000D-0000-FFFF-FFFF00000000}"/>
  </bookViews>
  <sheets>
    <sheet name="说明" sheetId="13" r:id="rId1"/>
    <sheet name="紫" sheetId="5" r:id="rId2"/>
    <sheet name="周年活动紫怪" sheetId="49" r:id="rId3"/>
    <sheet name="STD金" sheetId="7" r:id="rId4"/>
    <sheet name="STD蓝" sheetId="8" r:id="rId5"/>
    <sheet name="HC金" sheetId="9" r:id="rId6"/>
    <sheet name="HC蓝" sheetId="10" r:id="rId7"/>
    <sheet name="A1书籍" sheetId="25" r:id="rId8"/>
    <sheet name="A2书籍" sheetId="53" r:id="rId9"/>
    <sheet name="A3书籍" sheetId="29" r:id="rId10"/>
    <sheet name="A4书籍" sheetId="31" r:id="rId11"/>
    <sheet name="A5书籍" sheetId="18" r:id="rId12"/>
    <sheet name="A1A2A3事件" sheetId="34" r:id="rId13"/>
    <sheet name="A5事件" sheetId="19" r:id="rId14"/>
    <sheet name="锻造材料" sheetId="14" state="hidden" r:id="rId15"/>
    <sheet name="锻造材料图标" sheetId="15" state="hidden" r:id="rId16"/>
    <sheet name="诅咒" sheetId="32" r:id="rId17"/>
    <sheet name="对话" sheetId="36" r:id="rId18"/>
    <sheet name="对话节点" sheetId="37" state="hidden" r:id="rId19"/>
    <sheet name="大地图" sheetId="42" r:id="rId20"/>
    <sheet name="悬赏任务" sheetId="44" r:id="rId21"/>
    <sheet name="套装地城" sheetId="48" r:id="rId22"/>
    <sheet name="Data" sheetId="20" r:id="rId23"/>
    <sheet name="SetDungData" sheetId="47" state="hidden" r:id="rId24"/>
    <sheet name="公式生成器" sheetId="21" state="hidden" r:id="rId25"/>
    <sheet name="BountyData" sheetId="46" state="hidden" r:id="rId26"/>
    <sheet name="Log" sheetId="35" r:id="rId27"/>
  </sheets>
  <definedNames>
    <definedName name="_xlnm._FilterDatabase" localSheetId="25" hidden="1">BountyData!$A$2:$K$2</definedName>
    <definedName name="_xlnm._FilterDatabase" localSheetId="20" hidden="1">悬赏任务!$A$3:$F$459</definedName>
  </definedNames>
  <calcPr calcId="191029"/>
</workbook>
</file>

<file path=xl/calcChain.xml><?xml version="1.0" encoding="utf-8"?>
<calcChain xmlns="http://schemas.openxmlformats.org/spreadsheetml/2006/main">
  <c r="F26" i="32" l="1"/>
  <c r="A51" i="19"/>
  <c r="C727" i="42"/>
  <c r="D727" i="42"/>
  <c r="A49" i="53"/>
  <c r="F1" i="53"/>
  <c r="C71" i="53" s="1"/>
  <c r="C68" i="53"/>
  <c r="A68" i="53"/>
  <c r="C67" i="53"/>
  <c r="A60" i="53"/>
  <c r="C59" i="53"/>
  <c r="A59" i="53"/>
  <c r="A57" i="53"/>
  <c r="B55" i="53"/>
  <c r="A55" i="53"/>
  <c r="B54" i="53"/>
  <c r="A54" i="53"/>
  <c r="B53" i="53"/>
  <c r="B52" i="53"/>
  <c r="A52" i="53"/>
  <c r="A51" i="53"/>
  <c r="C50" i="53"/>
  <c r="B50" i="53"/>
  <c r="A50" i="53"/>
  <c r="C49" i="53"/>
  <c r="B48" i="53"/>
  <c r="A48" i="53"/>
  <c r="A47" i="53"/>
  <c r="C46" i="53"/>
  <c r="B46" i="53"/>
  <c r="A46" i="53"/>
  <c r="B45" i="53"/>
  <c r="A45" i="53"/>
  <c r="C44" i="53"/>
  <c r="A44" i="53"/>
  <c r="C43" i="53"/>
  <c r="A43" i="53"/>
  <c r="C42" i="53"/>
  <c r="B42" i="53"/>
  <c r="A42" i="53"/>
  <c r="A40" i="53"/>
  <c r="C38" i="53"/>
  <c r="B38" i="53"/>
  <c r="A38" i="53"/>
  <c r="B37" i="53"/>
  <c r="A37" i="53"/>
  <c r="C36" i="53"/>
  <c r="B36" i="53"/>
  <c r="A36" i="53"/>
  <c r="C35" i="53"/>
  <c r="B35" i="53"/>
  <c r="A35" i="53"/>
  <c r="C34" i="53"/>
  <c r="B34" i="53"/>
  <c r="A34" i="53"/>
  <c r="B33" i="53"/>
  <c r="A33" i="53"/>
  <c r="B32" i="53"/>
  <c r="A32" i="53"/>
  <c r="C31" i="53"/>
  <c r="B31" i="53"/>
  <c r="A31" i="53"/>
  <c r="A30" i="53"/>
  <c r="A29" i="53"/>
  <c r="A28" i="53"/>
  <c r="A27" i="53"/>
  <c r="A26" i="53"/>
  <c r="A25" i="53"/>
  <c r="A24" i="53"/>
  <c r="C23" i="53"/>
  <c r="B23" i="53"/>
  <c r="A23" i="53"/>
  <c r="A22" i="53"/>
  <c r="A21" i="53"/>
  <c r="A20" i="53"/>
  <c r="A19" i="53"/>
  <c r="C18" i="53"/>
  <c r="B18" i="53"/>
  <c r="A18" i="53"/>
  <c r="B17" i="53"/>
  <c r="A17" i="53"/>
  <c r="B16" i="53"/>
  <c r="A16" i="53"/>
  <c r="B15" i="53"/>
  <c r="A15" i="53"/>
  <c r="C14" i="53"/>
  <c r="B14" i="53"/>
  <c r="A14" i="53"/>
  <c r="C13" i="53"/>
  <c r="B13" i="53"/>
  <c r="A13" i="53"/>
  <c r="C12" i="53"/>
  <c r="B12" i="53"/>
  <c r="A12" i="53"/>
  <c r="C11" i="53"/>
  <c r="B11" i="53"/>
  <c r="A11" i="53"/>
  <c r="C10" i="53"/>
  <c r="B10" i="53"/>
  <c r="A10" i="53"/>
  <c r="C9" i="53"/>
  <c r="B9" i="53"/>
  <c r="A9" i="53"/>
  <c r="C8" i="53"/>
  <c r="B8" i="53"/>
  <c r="A8" i="53"/>
  <c r="C7" i="53"/>
  <c r="B7" i="53"/>
  <c r="A7" i="53"/>
  <c r="C6" i="53"/>
  <c r="B6" i="53"/>
  <c r="A6" i="53"/>
  <c r="C5" i="53"/>
  <c r="B5" i="53"/>
  <c r="A5" i="53"/>
  <c r="C4" i="53"/>
  <c r="B4" i="53"/>
  <c r="A4" i="53"/>
  <c r="A2" i="53"/>
  <c r="C37" i="53" l="1"/>
  <c r="B47" i="53"/>
  <c r="B59" i="53"/>
  <c r="B49" i="53"/>
  <c r="A61" i="53"/>
  <c r="A63" i="53"/>
  <c r="A64" i="53"/>
  <c r="A65" i="53"/>
  <c r="A66" i="53"/>
  <c r="A67" i="53"/>
  <c r="B43" i="53"/>
  <c r="B51" i="53"/>
  <c r="B67" i="53"/>
  <c r="B44" i="53"/>
  <c r="A53" i="53"/>
  <c r="B68" i="53"/>
  <c r="A69" i="53"/>
  <c r="B61" i="53"/>
  <c r="C61" i="53"/>
  <c r="A62" i="53"/>
  <c r="A70" i="53"/>
  <c r="A71" i="53"/>
  <c r="B71" i="53"/>
  <c r="H1" i="8"/>
  <c r="F40" i="8" s="1"/>
  <c r="H1" i="49"/>
  <c r="D22" i="49" s="1"/>
  <c r="D8" i="49"/>
  <c r="D13" i="49"/>
  <c r="D15" i="49"/>
  <c r="D16" i="49"/>
  <c r="D20" i="49"/>
  <c r="D23" i="49"/>
  <c r="A9" i="49"/>
  <c r="A13" i="49"/>
  <c r="A14" i="49"/>
  <c r="A15" i="49"/>
  <c r="A16" i="49"/>
  <c r="A18" i="49"/>
  <c r="A19" i="49"/>
  <c r="A20" i="49"/>
  <c r="A23" i="49"/>
  <c r="A2" i="49"/>
  <c r="F1" i="25"/>
  <c r="A23" i="25" s="1"/>
  <c r="I1" i="42"/>
  <c r="I1" i="36"/>
  <c r="A458" i="36" s="1"/>
  <c r="H1" i="48"/>
  <c r="B128" i="48" s="1"/>
  <c r="B176" i="48"/>
  <c r="B125" i="48"/>
  <c r="F1" i="29"/>
  <c r="B7" i="29" s="1"/>
  <c r="B5" i="48"/>
  <c r="B178" i="48"/>
  <c r="B165" i="48"/>
  <c r="B15" i="48"/>
  <c r="B170" i="48"/>
  <c r="B110" i="48"/>
  <c r="B279" i="44"/>
  <c r="H1" i="44"/>
  <c r="D279" i="44"/>
  <c r="F279" i="44"/>
  <c r="B280" i="44"/>
  <c r="C280" i="44"/>
  <c r="D280" i="44"/>
  <c r="F280" i="44"/>
  <c r="B277" i="44"/>
  <c r="D277" i="44"/>
  <c r="F277" i="44"/>
  <c r="B28" i="44"/>
  <c r="C28" i="44"/>
  <c r="D28" i="44"/>
  <c r="F28" i="44"/>
  <c r="B53" i="44"/>
  <c r="D53" i="44"/>
  <c r="F53" i="44"/>
  <c r="B54" i="44"/>
  <c r="D54" i="44"/>
  <c r="F54" i="44"/>
  <c r="B58" i="44"/>
  <c r="D58" i="44"/>
  <c r="F58" i="44"/>
  <c r="B72" i="44"/>
  <c r="D72" i="44"/>
  <c r="F72" i="44"/>
  <c r="B96" i="44"/>
  <c r="D96" i="44"/>
  <c r="E96" i="44"/>
  <c r="F96" i="44"/>
  <c r="B100" i="44"/>
  <c r="D100" i="44"/>
  <c r="F100" i="44"/>
  <c r="B129" i="44"/>
  <c r="C129" i="44"/>
  <c r="D129" i="44"/>
  <c r="F129" i="44"/>
  <c r="B195" i="44"/>
  <c r="D195" i="44"/>
  <c r="F195" i="44"/>
  <c r="B200" i="44"/>
  <c r="D200" i="44"/>
  <c r="F200" i="44"/>
  <c r="B288" i="44"/>
  <c r="D288" i="44"/>
  <c r="F288" i="44"/>
  <c r="B370" i="44"/>
  <c r="D370" i="44"/>
  <c r="F370" i="44"/>
  <c r="B376" i="44"/>
  <c r="D376" i="44"/>
  <c r="F376" i="44"/>
  <c r="B379" i="44"/>
  <c r="D379" i="44"/>
  <c r="F379" i="44"/>
  <c r="B360" i="44"/>
  <c r="C360" i="44"/>
  <c r="D360" i="44"/>
  <c r="F360" i="44"/>
  <c r="B386" i="44"/>
  <c r="D386" i="44"/>
  <c r="F386" i="44"/>
  <c r="B411" i="44"/>
  <c r="D411" i="44"/>
  <c r="F411" i="44"/>
  <c r="B414" i="44"/>
  <c r="D414" i="44"/>
  <c r="F414" i="44"/>
  <c r="B430" i="44"/>
  <c r="D430" i="44"/>
  <c r="F430" i="44"/>
  <c r="B428" i="44"/>
  <c r="D428" i="44"/>
  <c r="F428" i="44"/>
  <c r="B429" i="44"/>
  <c r="D429" i="44"/>
  <c r="F429" i="44"/>
  <c r="B438" i="44"/>
  <c r="D438" i="44"/>
  <c r="F438" i="44"/>
  <c r="B443" i="44"/>
  <c r="D443" i="44"/>
  <c r="F443" i="44"/>
  <c r="D278" i="44"/>
  <c r="D329" i="44"/>
  <c r="D330" i="44"/>
  <c r="D331" i="44"/>
  <c r="D324" i="44"/>
  <c r="D325" i="44"/>
  <c r="D326" i="44"/>
  <c r="D327" i="44"/>
  <c r="D328" i="44"/>
  <c r="D459" i="44"/>
  <c r="D458" i="44"/>
  <c r="D451" i="44"/>
  <c r="D457" i="44"/>
  <c r="D450" i="44"/>
  <c r="D456" i="44"/>
  <c r="D454" i="44"/>
  <c r="D449" i="44"/>
  <c r="D448" i="44"/>
  <c r="D446" i="44"/>
  <c r="D453" i="44"/>
  <c r="D447" i="44"/>
  <c r="D452" i="44"/>
  <c r="D455" i="44"/>
  <c r="D439" i="44"/>
  <c r="D436" i="44"/>
  <c r="D445" i="44"/>
  <c r="D440" i="44"/>
  <c r="D442" i="44"/>
  <c r="D444" i="44"/>
  <c r="D441" i="44"/>
  <c r="D437" i="44"/>
  <c r="D425" i="44"/>
  <c r="D435" i="44"/>
  <c r="D434" i="44"/>
  <c r="D433" i="44"/>
  <c r="D432" i="44"/>
  <c r="D431" i="44"/>
  <c r="D427" i="44"/>
  <c r="D426" i="44"/>
  <c r="D419" i="44"/>
  <c r="D422" i="44"/>
  <c r="D421" i="44"/>
  <c r="D420" i="44"/>
  <c r="D423" i="44"/>
  <c r="D424" i="44"/>
  <c r="D418" i="44"/>
  <c r="D416" i="44"/>
  <c r="D417" i="44"/>
  <c r="D410" i="44"/>
  <c r="D415" i="44"/>
  <c r="D413" i="44"/>
  <c r="D412" i="44"/>
  <c r="D407" i="44"/>
  <c r="D409" i="44"/>
  <c r="D408" i="44"/>
  <c r="D392" i="44"/>
  <c r="D398" i="44"/>
  <c r="D406" i="44"/>
  <c r="D404" i="44"/>
  <c r="D397" i="44"/>
  <c r="D402" i="44"/>
  <c r="D400" i="44"/>
  <c r="D405" i="44"/>
  <c r="D394" i="44"/>
  <c r="D396" i="44"/>
  <c r="D390" i="44"/>
  <c r="D395" i="44"/>
  <c r="D391" i="44"/>
  <c r="D393" i="44"/>
  <c r="D401" i="44"/>
  <c r="D403" i="44"/>
  <c r="D399" i="44"/>
  <c r="D389" i="44"/>
  <c r="D388" i="44"/>
  <c r="D387" i="44"/>
  <c r="D385" i="44"/>
  <c r="D384" i="44"/>
  <c r="D383" i="44"/>
  <c r="D381" i="44"/>
  <c r="D382" i="44"/>
  <c r="D378" i="44"/>
  <c r="D380" i="44"/>
  <c r="D375" i="44"/>
  <c r="D377" i="44"/>
  <c r="D369" i="44"/>
  <c r="D371" i="44"/>
  <c r="D368" i="44"/>
  <c r="D372" i="44"/>
  <c r="D373" i="44"/>
  <c r="D374" i="44"/>
  <c r="D367" i="44"/>
  <c r="D362" i="44"/>
  <c r="D366" i="44"/>
  <c r="D365" i="44"/>
  <c r="D364" i="44"/>
  <c r="D363" i="44"/>
  <c r="D359" i="44"/>
  <c r="D361" i="44"/>
  <c r="D358" i="44"/>
  <c r="D357" i="44"/>
  <c r="D356" i="44"/>
  <c r="D355" i="44"/>
  <c r="D353" i="44"/>
  <c r="D354" i="44"/>
  <c r="D351" i="44"/>
  <c r="D352" i="44"/>
  <c r="D350" i="44"/>
  <c r="D349" i="44"/>
  <c r="D347" i="44"/>
  <c r="D346" i="44"/>
  <c r="D348" i="44"/>
  <c r="D343" i="44"/>
  <c r="D344" i="44"/>
  <c r="D341" i="44"/>
  <c r="D340" i="44"/>
  <c r="D342" i="44"/>
  <c r="D345" i="44"/>
  <c r="D336" i="44"/>
  <c r="D339" i="44"/>
  <c r="D337" i="44"/>
  <c r="D338" i="44"/>
  <c r="D332" i="44"/>
  <c r="D334" i="44"/>
  <c r="D335" i="44"/>
  <c r="D333" i="44"/>
  <c r="D321" i="44"/>
  <c r="D323" i="44"/>
  <c r="D322" i="44"/>
  <c r="D320" i="44"/>
  <c r="D319" i="44"/>
  <c r="D313" i="44"/>
  <c r="D314" i="44"/>
  <c r="D318" i="44"/>
  <c r="D316" i="44"/>
  <c r="D315" i="44"/>
  <c r="D317" i="44"/>
  <c r="D312" i="44"/>
  <c r="D305" i="44"/>
  <c r="D306" i="44"/>
  <c r="D308" i="44"/>
  <c r="D311" i="44"/>
  <c r="D310" i="44"/>
  <c r="D307" i="44"/>
  <c r="D309" i="44"/>
  <c r="D304" i="44"/>
  <c r="D299" i="44"/>
  <c r="D303" i="44"/>
  <c r="D302" i="44"/>
  <c r="D301" i="44"/>
  <c r="D300" i="44"/>
  <c r="D298" i="44"/>
  <c r="D294" i="44"/>
  <c r="D295" i="44"/>
  <c r="D296" i="44"/>
  <c r="D297" i="44"/>
  <c r="D292" i="44"/>
  <c r="D290" i="44"/>
  <c r="D291" i="44"/>
  <c r="D293" i="44"/>
  <c r="D289" i="44"/>
  <c r="D286" i="44"/>
  <c r="D285" i="44"/>
  <c r="D284" i="44"/>
  <c r="D287" i="44"/>
  <c r="D282" i="44"/>
  <c r="D283" i="44"/>
  <c r="D281" i="44"/>
  <c r="D221" i="44"/>
  <c r="D225" i="44"/>
  <c r="D224" i="44"/>
  <c r="D223" i="44"/>
  <c r="D222" i="44"/>
  <c r="D216" i="44"/>
  <c r="D215" i="44"/>
  <c r="D214" i="44"/>
  <c r="D218" i="44"/>
  <c r="D217" i="44"/>
  <c r="D219" i="44"/>
  <c r="D220" i="44"/>
  <c r="D213" i="44"/>
  <c r="D273" i="44"/>
  <c r="D276" i="44"/>
  <c r="D275" i="44"/>
  <c r="D274" i="44"/>
  <c r="D271" i="44"/>
  <c r="D270" i="44"/>
  <c r="D272" i="44"/>
  <c r="D267" i="44"/>
  <c r="D266" i="44"/>
  <c r="D268" i="44"/>
  <c r="D269" i="44"/>
  <c r="D260" i="44"/>
  <c r="D265" i="44"/>
  <c r="D264" i="44"/>
  <c r="D263" i="44"/>
  <c r="D261" i="44"/>
  <c r="D262" i="44"/>
  <c r="D259" i="44"/>
  <c r="D257" i="44"/>
  <c r="D256" i="44"/>
  <c r="D258" i="44"/>
  <c r="D255" i="44"/>
  <c r="D251" i="44"/>
  <c r="D253" i="44"/>
  <c r="D254" i="44"/>
  <c r="D252" i="44"/>
  <c r="D247" i="44"/>
  <c r="D250" i="44"/>
  <c r="D249" i="44"/>
  <c r="D248" i="44"/>
  <c r="D246" i="44"/>
  <c r="D244" i="44"/>
  <c r="D245" i="44"/>
  <c r="D243" i="44"/>
  <c r="D242" i="44"/>
  <c r="D238" i="44"/>
  <c r="D239" i="44"/>
  <c r="D240" i="44"/>
  <c r="D241" i="44"/>
  <c r="D237" i="44"/>
  <c r="D236" i="44"/>
  <c r="D232" i="44"/>
  <c r="D235" i="44"/>
  <c r="D233" i="44"/>
  <c r="D234" i="44"/>
  <c r="D231" i="44"/>
  <c r="D226" i="44"/>
  <c r="D230" i="44"/>
  <c r="D229" i="44"/>
  <c r="D228" i="44"/>
  <c r="D227" i="44"/>
  <c r="D208" i="44"/>
  <c r="D212" i="44"/>
  <c r="D209" i="44"/>
  <c r="D210" i="44"/>
  <c r="D211" i="44"/>
  <c r="D207" i="44"/>
  <c r="D206" i="44"/>
  <c r="D205" i="44"/>
  <c r="D204" i="44"/>
  <c r="D199" i="44"/>
  <c r="D201" i="44"/>
  <c r="D202" i="44"/>
  <c r="D203" i="44"/>
  <c r="D198" i="44"/>
  <c r="D196" i="44"/>
  <c r="D197" i="44"/>
  <c r="D188" i="44"/>
  <c r="D194" i="44"/>
  <c r="D193" i="44"/>
  <c r="D192" i="44"/>
  <c r="D191" i="44"/>
  <c r="D190" i="44"/>
  <c r="D189" i="44"/>
  <c r="D187" i="44"/>
  <c r="D186" i="44"/>
  <c r="D185" i="44"/>
  <c r="D174" i="44"/>
  <c r="D183" i="44"/>
  <c r="D180" i="44"/>
  <c r="D184" i="44"/>
  <c r="D179" i="44"/>
  <c r="D176" i="44"/>
  <c r="D178" i="44"/>
  <c r="D177" i="44"/>
  <c r="D182" i="44"/>
  <c r="D175" i="44"/>
  <c r="D181" i="44"/>
  <c r="D172" i="44"/>
  <c r="D173" i="44"/>
  <c r="D171" i="44"/>
  <c r="D170" i="44"/>
  <c r="D168" i="44"/>
  <c r="D169" i="44"/>
  <c r="D167" i="44"/>
  <c r="D165" i="44"/>
  <c r="D166" i="44"/>
  <c r="D161" i="44"/>
  <c r="D157" i="44"/>
  <c r="D163" i="44"/>
  <c r="D159" i="44"/>
  <c r="D164" i="44"/>
  <c r="D158" i="44"/>
  <c r="D162" i="44"/>
  <c r="D160" i="44"/>
  <c r="D156" i="44"/>
  <c r="D155" i="44"/>
  <c r="D154" i="44"/>
  <c r="D152" i="44"/>
  <c r="D151" i="44"/>
  <c r="D153" i="44"/>
  <c r="D150" i="44"/>
  <c r="D149" i="44"/>
  <c r="D148" i="44"/>
  <c r="D144" i="44"/>
  <c r="D145" i="44"/>
  <c r="D146" i="44"/>
  <c r="D147" i="44"/>
  <c r="D143" i="44"/>
  <c r="D142" i="44"/>
  <c r="D141" i="44"/>
  <c r="D139" i="44"/>
  <c r="D140" i="44"/>
  <c r="D135" i="44"/>
  <c r="D137" i="44"/>
  <c r="D136" i="44"/>
  <c r="D138" i="44"/>
  <c r="D134" i="44"/>
  <c r="D133" i="44"/>
  <c r="D132" i="44"/>
  <c r="D128" i="44"/>
  <c r="D130" i="44"/>
  <c r="D127" i="44"/>
  <c r="D126" i="44"/>
  <c r="D131" i="44"/>
  <c r="D125" i="44"/>
  <c r="D124" i="44"/>
  <c r="D120" i="44"/>
  <c r="D122" i="44"/>
  <c r="D123" i="44"/>
  <c r="D121" i="44"/>
  <c r="D119" i="44"/>
  <c r="D116" i="44"/>
  <c r="D118" i="44"/>
  <c r="D117" i="44"/>
  <c r="D109" i="44"/>
  <c r="D115" i="44"/>
  <c r="D110" i="44"/>
  <c r="D114" i="44"/>
  <c r="D113" i="44"/>
  <c r="D111" i="44"/>
  <c r="D112" i="44"/>
  <c r="D103" i="44"/>
  <c r="D106" i="44"/>
  <c r="D105" i="44"/>
  <c r="D108" i="44"/>
  <c r="D104" i="44"/>
  <c r="D107" i="44"/>
  <c r="D102" i="44"/>
  <c r="D101" i="44"/>
  <c r="D97" i="44"/>
  <c r="D95" i="44"/>
  <c r="D98" i="44"/>
  <c r="D99" i="44"/>
  <c r="D94" i="44"/>
  <c r="D91" i="44"/>
  <c r="D90" i="44"/>
  <c r="D92" i="44"/>
  <c r="D93" i="44"/>
  <c r="D89" i="44"/>
  <c r="D88" i="44"/>
  <c r="D76" i="44"/>
  <c r="D78" i="44"/>
  <c r="D77" i="44"/>
  <c r="D75" i="44"/>
  <c r="D79" i="44"/>
  <c r="D73" i="44"/>
  <c r="D74" i="44"/>
  <c r="D71" i="44"/>
  <c r="D70" i="44"/>
  <c r="D69" i="44"/>
  <c r="D67" i="44"/>
  <c r="D66" i="44"/>
  <c r="D68" i="44"/>
  <c r="D62" i="44"/>
  <c r="D65" i="44"/>
  <c r="D63" i="44"/>
  <c r="D64" i="44"/>
  <c r="D61" i="44"/>
  <c r="D59" i="44"/>
  <c r="D60" i="44"/>
  <c r="D57" i="44"/>
  <c r="D56" i="44"/>
  <c r="D55" i="44"/>
  <c r="D51" i="44"/>
  <c r="D52" i="44"/>
  <c r="D50" i="44"/>
  <c r="D49" i="44"/>
  <c r="D48" i="44"/>
  <c r="D46" i="44"/>
  <c r="D42" i="44"/>
  <c r="D47" i="44"/>
  <c r="D44" i="44"/>
  <c r="D45" i="44"/>
  <c r="D43" i="44"/>
  <c r="D41" i="44"/>
  <c r="D40" i="44"/>
  <c r="D39" i="44"/>
  <c r="D38" i="44"/>
  <c r="D37" i="44"/>
  <c r="D35" i="44"/>
  <c r="D36" i="44"/>
  <c r="D34" i="44"/>
  <c r="D33" i="44"/>
  <c r="D32" i="44"/>
  <c r="D29" i="44"/>
  <c r="D31" i="44"/>
  <c r="D30" i="44"/>
  <c r="D27" i="44"/>
  <c r="D26" i="44"/>
  <c r="D24" i="44"/>
  <c r="D25" i="44"/>
  <c r="D22" i="44"/>
  <c r="D23" i="44"/>
  <c r="D21" i="44"/>
  <c r="D20" i="44"/>
  <c r="D19" i="44"/>
  <c r="D18" i="44"/>
  <c r="D15" i="44"/>
  <c r="D16" i="44"/>
  <c r="D17" i="44"/>
  <c r="D13" i="44"/>
  <c r="D14" i="44"/>
  <c r="D12" i="44"/>
  <c r="D11" i="44"/>
  <c r="D80" i="44"/>
  <c r="D81" i="44"/>
  <c r="D82" i="44"/>
  <c r="D83" i="44"/>
  <c r="D84" i="44"/>
  <c r="D85" i="44"/>
  <c r="D86" i="44"/>
  <c r="D87" i="44"/>
  <c r="D10" i="44"/>
  <c r="D9" i="44"/>
  <c r="D6" i="44"/>
  <c r="D5" i="44"/>
  <c r="D8" i="44"/>
  <c r="D7" i="44"/>
  <c r="D4" i="44"/>
  <c r="E331" i="44"/>
  <c r="E325" i="44"/>
  <c r="E326" i="44"/>
  <c r="E452" i="44"/>
  <c r="E436" i="44"/>
  <c r="E422" i="44"/>
  <c r="E412" i="44"/>
  <c r="E391" i="44"/>
  <c r="E403" i="44"/>
  <c r="E378" i="44"/>
  <c r="E368" i="44"/>
  <c r="E364" i="44"/>
  <c r="E359" i="44"/>
  <c r="E357" i="44"/>
  <c r="E344" i="44"/>
  <c r="E336" i="44"/>
  <c r="E323" i="44"/>
  <c r="E316" i="44"/>
  <c r="E310" i="44"/>
  <c r="E307" i="44"/>
  <c r="E304" i="44"/>
  <c r="E293" i="44"/>
  <c r="E215" i="44"/>
  <c r="E213" i="44"/>
  <c r="E271" i="44"/>
  <c r="E252" i="44"/>
  <c r="E249" i="44"/>
  <c r="E239" i="44"/>
  <c r="E234" i="44"/>
  <c r="E227" i="44"/>
  <c r="E212" i="44"/>
  <c r="E206" i="44"/>
  <c r="E194" i="44"/>
  <c r="E187" i="44"/>
  <c r="E176" i="44"/>
  <c r="E171" i="44"/>
  <c r="E161" i="44"/>
  <c r="E157" i="44"/>
  <c r="E159" i="44"/>
  <c r="E139" i="44"/>
  <c r="E132" i="44"/>
  <c r="E120" i="44"/>
  <c r="E109" i="44"/>
  <c r="E115" i="44"/>
  <c r="E94" i="44"/>
  <c r="E79" i="44"/>
  <c r="E69" i="44"/>
  <c r="E61" i="44"/>
  <c r="E57" i="44"/>
  <c r="E55" i="44"/>
  <c r="E39" i="44"/>
  <c r="E35" i="44"/>
  <c r="E24" i="44"/>
  <c r="E19" i="44"/>
  <c r="E11" i="44"/>
  <c r="E81" i="44"/>
  <c r="C330" i="44"/>
  <c r="C327" i="44"/>
  <c r="C449" i="44"/>
  <c r="C425" i="44"/>
  <c r="C435" i="44"/>
  <c r="C433" i="44"/>
  <c r="C410" i="44"/>
  <c r="C394" i="44"/>
  <c r="C401" i="44"/>
  <c r="C387" i="44"/>
  <c r="C382" i="44"/>
  <c r="C378" i="44"/>
  <c r="C364" i="44"/>
  <c r="C359" i="44"/>
  <c r="C355" i="44"/>
  <c r="C352" i="44"/>
  <c r="C347" i="44"/>
  <c r="C343" i="44"/>
  <c r="C336" i="44"/>
  <c r="C338" i="44"/>
  <c r="C320" i="44"/>
  <c r="C313" i="44"/>
  <c r="C314" i="44"/>
  <c r="C318" i="44"/>
  <c r="C316" i="44"/>
  <c r="C311" i="44"/>
  <c r="C302" i="44"/>
  <c r="C294" i="44"/>
  <c r="C296" i="44"/>
  <c r="C297" i="44"/>
  <c r="C292" i="44"/>
  <c r="C290" i="44"/>
  <c r="C287" i="44"/>
  <c r="C283" i="44"/>
  <c r="C215" i="44"/>
  <c r="C217" i="44"/>
  <c r="C219" i="44"/>
  <c r="C213" i="44"/>
  <c r="C272" i="44"/>
  <c r="C266" i="44"/>
  <c r="C264" i="44"/>
  <c r="C262" i="44"/>
  <c r="C256" i="44"/>
  <c r="C258" i="44"/>
  <c r="C255" i="44"/>
  <c r="C248" i="44"/>
  <c r="C244" i="44"/>
  <c r="C239" i="44"/>
  <c r="C237" i="44"/>
  <c r="C232" i="44"/>
  <c r="C233" i="44"/>
  <c r="C231" i="44"/>
  <c r="C212" i="44"/>
  <c r="C210" i="44"/>
  <c r="C202" i="44"/>
  <c r="C198" i="44"/>
  <c r="C196" i="44"/>
  <c r="C188" i="44"/>
  <c r="C194" i="44"/>
  <c r="C186" i="44"/>
  <c r="C174" i="44"/>
  <c r="C179" i="44"/>
  <c r="C177" i="44"/>
  <c r="C175" i="44"/>
  <c r="C172" i="44"/>
  <c r="C173" i="44"/>
  <c r="C165" i="44"/>
  <c r="C161" i="44"/>
  <c r="C164" i="44"/>
  <c r="C160" i="44"/>
  <c r="C155" i="44"/>
  <c r="C152" i="44"/>
  <c r="C151" i="44"/>
  <c r="C145" i="44"/>
  <c r="C147" i="44"/>
  <c r="C143" i="44"/>
  <c r="C139" i="44"/>
  <c r="C137" i="44"/>
  <c r="C138" i="44"/>
  <c r="C134" i="44"/>
  <c r="C133" i="44"/>
  <c r="C132" i="44"/>
  <c r="C125" i="44"/>
  <c r="C122" i="44"/>
  <c r="C119" i="44"/>
  <c r="C115" i="44"/>
  <c r="C110" i="44"/>
  <c r="C114" i="44"/>
  <c r="C108" i="44"/>
  <c r="C107" i="44"/>
  <c r="C102" i="44"/>
  <c r="C95" i="44"/>
  <c r="C94" i="44"/>
  <c r="C90" i="44"/>
  <c r="C92" i="44"/>
  <c r="C93" i="44"/>
  <c r="C89" i="44"/>
  <c r="C79" i="44"/>
  <c r="C74" i="44"/>
  <c r="C71" i="44"/>
  <c r="C67" i="44"/>
  <c r="C62" i="44"/>
  <c r="C61" i="44"/>
  <c r="C59" i="44"/>
  <c r="C52" i="44"/>
  <c r="C48" i="44"/>
  <c r="C47" i="44"/>
  <c r="C43" i="44"/>
  <c r="C40" i="44"/>
  <c r="C39" i="44"/>
  <c r="C38" i="44"/>
  <c r="C37" i="44"/>
  <c r="C29" i="44"/>
  <c r="C30" i="44"/>
  <c r="C27" i="44"/>
  <c r="C25" i="44"/>
  <c r="C21" i="44"/>
  <c r="C19" i="44"/>
  <c r="C18" i="44"/>
  <c r="C15" i="44"/>
  <c r="C80" i="44"/>
  <c r="C83" i="44"/>
  <c r="C9" i="44"/>
  <c r="C5" i="44"/>
  <c r="C8" i="44"/>
  <c r="C7" i="44"/>
  <c r="C4" i="44"/>
  <c r="F278" i="44"/>
  <c r="F329" i="44"/>
  <c r="F330" i="44"/>
  <c r="F331" i="44"/>
  <c r="F324" i="44"/>
  <c r="F325" i="44"/>
  <c r="F326" i="44"/>
  <c r="F327" i="44"/>
  <c r="F328" i="44"/>
  <c r="F459" i="44"/>
  <c r="F458" i="44"/>
  <c r="F451" i="44"/>
  <c r="F457" i="44"/>
  <c r="F450" i="44"/>
  <c r="F456" i="44"/>
  <c r="F454" i="44"/>
  <c r="F449" i="44"/>
  <c r="F448" i="44"/>
  <c r="F446" i="44"/>
  <c r="F453" i="44"/>
  <c r="F447" i="44"/>
  <c r="F452" i="44"/>
  <c r="F455" i="44"/>
  <c r="F439" i="44"/>
  <c r="F436" i="44"/>
  <c r="F445" i="44"/>
  <c r="F440" i="44"/>
  <c r="F442" i="44"/>
  <c r="F444" i="44"/>
  <c r="F441" i="44"/>
  <c r="F437" i="44"/>
  <c r="F425" i="44"/>
  <c r="F435" i="44"/>
  <c r="F434" i="44"/>
  <c r="F433" i="44"/>
  <c r="F432" i="44"/>
  <c r="F431" i="44"/>
  <c r="F427" i="44"/>
  <c r="F426" i="44"/>
  <c r="F419" i="44"/>
  <c r="F422" i="44"/>
  <c r="F421" i="44"/>
  <c r="F420" i="44"/>
  <c r="F423" i="44"/>
  <c r="F424" i="44"/>
  <c r="F418" i="44"/>
  <c r="F416" i="44"/>
  <c r="F417" i="44"/>
  <c r="F410" i="44"/>
  <c r="F415" i="44"/>
  <c r="F413" i="44"/>
  <c r="F412" i="44"/>
  <c r="F407" i="44"/>
  <c r="F409" i="44"/>
  <c r="F408" i="44"/>
  <c r="F392" i="44"/>
  <c r="F398" i="44"/>
  <c r="F406" i="44"/>
  <c r="F404" i="44"/>
  <c r="F397" i="44"/>
  <c r="F402" i="44"/>
  <c r="F400" i="44"/>
  <c r="F405" i="44"/>
  <c r="F394" i="44"/>
  <c r="F396" i="44"/>
  <c r="F390" i="44"/>
  <c r="F395" i="44"/>
  <c r="F391" i="44"/>
  <c r="F393" i="44"/>
  <c r="F401" i="44"/>
  <c r="F403" i="44"/>
  <c r="F399" i="44"/>
  <c r="F389" i="44"/>
  <c r="F388" i="44"/>
  <c r="F387" i="44"/>
  <c r="F385" i="44"/>
  <c r="F384" i="44"/>
  <c r="F383" i="44"/>
  <c r="F381" i="44"/>
  <c r="F382" i="44"/>
  <c r="F378" i="44"/>
  <c r="F380" i="44"/>
  <c r="F375" i="44"/>
  <c r="F377" i="44"/>
  <c r="F369" i="44"/>
  <c r="F371" i="44"/>
  <c r="F368" i="44"/>
  <c r="F372" i="44"/>
  <c r="F373" i="44"/>
  <c r="F374" i="44"/>
  <c r="F367" i="44"/>
  <c r="F362" i="44"/>
  <c r="F366" i="44"/>
  <c r="F365" i="44"/>
  <c r="F364" i="44"/>
  <c r="F363" i="44"/>
  <c r="F359" i="44"/>
  <c r="F361" i="44"/>
  <c r="F358" i="44"/>
  <c r="F357" i="44"/>
  <c r="F356" i="44"/>
  <c r="F355" i="44"/>
  <c r="F353" i="44"/>
  <c r="F354" i="44"/>
  <c r="F351" i="44"/>
  <c r="F352" i="44"/>
  <c r="F350" i="44"/>
  <c r="F349" i="44"/>
  <c r="F347" i="44"/>
  <c r="F346" i="44"/>
  <c r="F348" i="44"/>
  <c r="F343" i="44"/>
  <c r="F344" i="44"/>
  <c r="F341" i="44"/>
  <c r="F340" i="44"/>
  <c r="F342" i="44"/>
  <c r="F345" i="44"/>
  <c r="F336" i="44"/>
  <c r="F339" i="44"/>
  <c r="F337" i="44"/>
  <c r="F338" i="44"/>
  <c r="F332" i="44"/>
  <c r="F334" i="44"/>
  <c r="F335" i="44"/>
  <c r="F333" i="44"/>
  <c r="F321" i="44"/>
  <c r="F323" i="44"/>
  <c r="F322" i="44"/>
  <c r="F320" i="44"/>
  <c r="F319" i="44"/>
  <c r="F313" i="44"/>
  <c r="F314" i="44"/>
  <c r="F318" i="44"/>
  <c r="F316" i="44"/>
  <c r="F315" i="44"/>
  <c r="F317" i="44"/>
  <c r="F312" i="44"/>
  <c r="F305" i="44"/>
  <c r="F306" i="44"/>
  <c r="F308" i="44"/>
  <c r="F311" i="44"/>
  <c r="F310" i="44"/>
  <c r="F307" i="44"/>
  <c r="F309" i="44"/>
  <c r="F304" i="44"/>
  <c r="F299" i="44"/>
  <c r="F303" i="44"/>
  <c r="F302" i="44"/>
  <c r="F301" i="44"/>
  <c r="F300" i="44"/>
  <c r="F298" i="44"/>
  <c r="F294" i="44"/>
  <c r="F295" i="44"/>
  <c r="F296" i="44"/>
  <c r="F297" i="44"/>
  <c r="F292" i="44"/>
  <c r="F290" i="44"/>
  <c r="F291" i="44"/>
  <c r="F293" i="44"/>
  <c r="F289" i="44"/>
  <c r="F286" i="44"/>
  <c r="F285" i="44"/>
  <c r="F284" i="44"/>
  <c r="F287" i="44"/>
  <c r="F282" i="44"/>
  <c r="F283" i="44"/>
  <c r="F281" i="44"/>
  <c r="F221" i="44"/>
  <c r="F225" i="44"/>
  <c r="F224" i="44"/>
  <c r="F223" i="44"/>
  <c r="F222" i="44"/>
  <c r="F216" i="44"/>
  <c r="F215" i="44"/>
  <c r="F214" i="44"/>
  <c r="F218" i="44"/>
  <c r="F217" i="44"/>
  <c r="F219" i="44"/>
  <c r="F220" i="44"/>
  <c r="F213" i="44"/>
  <c r="F273" i="44"/>
  <c r="F276" i="44"/>
  <c r="F275" i="44"/>
  <c r="F274" i="44"/>
  <c r="F271" i="44"/>
  <c r="F270" i="44"/>
  <c r="F272" i="44"/>
  <c r="F267" i="44"/>
  <c r="F266" i="44"/>
  <c r="F268" i="44"/>
  <c r="F269" i="44"/>
  <c r="F260" i="44"/>
  <c r="F265" i="44"/>
  <c r="F264" i="44"/>
  <c r="F263" i="44"/>
  <c r="F261" i="44"/>
  <c r="F262" i="44"/>
  <c r="F259" i="44"/>
  <c r="F257" i="44"/>
  <c r="F256" i="44"/>
  <c r="F258" i="44"/>
  <c r="F255" i="44"/>
  <c r="F251" i="44"/>
  <c r="F253" i="44"/>
  <c r="F254" i="44"/>
  <c r="F252" i="44"/>
  <c r="F247" i="44"/>
  <c r="F250" i="44"/>
  <c r="F249" i="44"/>
  <c r="F248" i="44"/>
  <c r="F246" i="44"/>
  <c r="F244" i="44"/>
  <c r="F245" i="44"/>
  <c r="F243" i="44"/>
  <c r="F242" i="44"/>
  <c r="F238" i="44"/>
  <c r="F239" i="44"/>
  <c r="F240" i="44"/>
  <c r="F241" i="44"/>
  <c r="F237" i="44"/>
  <c r="F236" i="44"/>
  <c r="F232" i="44"/>
  <c r="F235" i="44"/>
  <c r="F233" i="44"/>
  <c r="F234" i="44"/>
  <c r="F231" i="44"/>
  <c r="F226" i="44"/>
  <c r="F230" i="44"/>
  <c r="F229" i="44"/>
  <c r="F228" i="44"/>
  <c r="F227" i="44"/>
  <c r="F208" i="44"/>
  <c r="F212" i="44"/>
  <c r="F209" i="44"/>
  <c r="F210" i="44"/>
  <c r="F211" i="44"/>
  <c r="F207" i="44"/>
  <c r="F206" i="44"/>
  <c r="F205" i="44"/>
  <c r="F204" i="44"/>
  <c r="F199" i="44"/>
  <c r="F201" i="44"/>
  <c r="F202" i="44"/>
  <c r="F203" i="44"/>
  <c r="F198" i="44"/>
  <c r="F196" i="44"/>
  <c r="F197" i="44"/>
  <c r="F188" i="44"/>
  <c r="F194" i="44"/>
  <c r="F193" i="44"/>
  <c r="F192" i="44"/>
  <c r="F191" i="44"/>
  <c r="F190" i="44"/>
  <c r="F189" i="44"/>
  <c r="F187" i="44"/>
  <c r="F186" i="44"/>
  <c r="F185" i="44"/>
  <c r="F174" i="44"/>
  <c r="F183" i="44"/>
  <c r="F180" i="44"/>
  <c r="F184" i="44"/>
  <c r="F179" i="44"/>
  <c r="F176" i="44"/>
  <c r="F178" i="44"/>
  <c r="F177" i="44"/>
  <c r="F182" i="44"/>
  <c r="F175" i="44"/>
  <c r="F181" i="44"/>
  <c r="F172" i="44"/>
  <c r="F173" i="44"/>
  <c r="F171" i="44"/>
  <c r="F170" i="44"/>
  <c r="F168" i="44"/>
  <c r="F169" i="44"/>
  <c r="F167" i="44"/>
  <c r="F165" i="44"/>
  <c r="F166" i="44"/>
  <c r="F161" i="44"/>
  <c r="F157" i="44"/>
  <c r="F163" i="44"/>
  <c r="F159" i="44"/>
  <c r="F164" i="44"/>
  <c r="F158" i="44"/>
  <c r="F162" i="44"/>
  <c r="F160" i="44"/>
  <c r="F156" i="44"/>
  <c r="F155" i="44"/>
  <c r="F154" i="44"/>
  <c r="F152" i="44"/>
  <c r="F151" i="44"/>
  <c r="F153" i="44"/>
  <c r="F150" i="44"/>
  <c r="F149" i="44"/>
  <c r="F148" i="44"/>
  <c r="F144" i="44"/>
  <c r="F145" i="44"/>
  <c r="F146" i="44"/>
  <c r="F147" i="44"/>
  <c r="F143" i="44"/>
  <c r="F142" i="44"/>
  <c r="F141" i="44"/>
  <c r="F139" i="44"/>
  <c r="F140" i="44"/>
  <c r="F135" i="44"/>
  <c r="F137" i="44"/>
  <c r="F136" i="44"/>
  <c r="F138" i="44"/>
  <c r="F134" i="44"/>
  <c r="F133" i="44"/>
  <c r="F132" i="44"/>
  <c r="F128" i="44"/>
  <c r="F130" i="44"/>
  <c r="F127" i="44"/>
  <c r="F126" i="44"/>
  <c r="F131" i="44"/>
  <c r="F125" i="44"/>
  <c r="F124" i="44"/>
  <c r="F120" i="44"/>
  <c r="F122" i="44"/>
  <c r="F123" i="44"/>
  <c r="F121" i="44"/>
  <c r="F119" i="44"/>
  <c r="F116" i="44"/>
  <c r="F118" i="44"/>
  <c r="F117" i="44"/>
  <c r="F109" i="44"/>
  <c r="F115" i="44"/>
  <c r="F110" i="44"/>
  <c r="F114" i="44"/>
  <c r="F113" i="44"/>
  <c r="F111" i="44"/>
  <c r="F112" i="44"/>
  <c r="F103" i="44"/>
  <c r="F106" i="44"/>
  <c r="F105" i="44"/>
  <c r="F108" i="44"/>
  <c r="F104" i="44"/>
  <c r="F107" i="44"/>
  <c r="F102" i="44"/>
  <c r="F101" i="44"/>
  <c r="F97" i="44"/>
  <c r="F95" i="44"/>
  <c r="F98" i="44"/>
  <c r="F99" i="44"/>
  <c r="F94" i="44"/>
  <c r="F91" i="44"/>
  <c r="F90" i="44"/>
  <c r="F92" i="44"/>
  <c r="F93" i="44"/>
  <c r="F89" i="44"/>
  <c r="F88" i="44"/>
  <c r="F76" i="44"/>
  <c r="F78" i="44"/>
  <c r="F77" i="44"/>
  <c r="F75" i="44"/>
  <c r="F79" i="44"/>
  <c r="F73" i="44"/>
  <c r="F74" i="44"/>
  <c r="F71" i="44"/>
  <c r="F70" i="44"/>
  <c r="F69" i="44"/>
  <c r="F67" i="44"/>
  <c r="F66" i="44"/>
  <c r="F68" i="44"/>
  <c r="F62" i="44"/>
  <c r="F65" i="44"/>
  <c r="F63" i="44"/>
  <c r="F64" i="44"/>
  <c r="F61" i="44"/>
  <c r="F59" i="44"/>
  <c r="F60" i="44"/>
  <c r="F57" i="44"/>
  <c r="F56" i="44"/>
  <c r="F55" i="44"/>
  <c r="F51" i="44"/>
  <c r="F52" i="44"/>
  <c r="F50" i="44"/>
  <c r="F49" i="44"/>
  <c r="F48" i="44"/>
  <c r="F46" i="44"/>
  <c r="F42" i="44"/>
  <c r="F47" i="44"/>
  <c r="F44" i="44"/>
  <c r="F45" i="44"/>
  <c r="F43" i="44"/>
  <c r="F41" i="44"/>
  <c r="F40" i="44"/>
  <c r="F39" i="44"/>
  <c r="F38" i="44"/>
  <c r="F37" i="44"/>
  <c r="F35" i="44"/>
  <c r="F36" i="44"/>
  <c r="F34" i="44"/>
  <c r="F33" i="44"/>
  <c r="F32" i="44"/>
  <c r="F29" i="44"/>
  <c r="F31" i="44"/>
  <c r="F30" i="44"/>
  <c r="F27" i="44"/>
  <c r="F26" i="44"/>
  <c r="F24" i="44"/>
  <c r="F25" i="44"/>
  <c r="F22" i="44"/>
  <c r="F23" i="44"/>
  <c r="F21" i="44"/>
  <c r="F20" i="44"/>
  <c r="F19" i="44"/>
  <c r="F18" i="44"/>
  <c r="F15" i="44"/>
  <c r="F16" i="44"/>
  <c r="F17" i="44"/>
  <c r="F13" i="44"/>
  <c r="F14" i="44"/>
  <c r="F12" i="44"/>
  <c r="F11" i="44"/>
  <c r="F80" i="44"/>
  <c r="F81" i="44"/>
  <c r="F82" i="44"/>
  <c r="F83" i="44"/>
  <c r="F84" i="44"/>
  <c r="F85" i="44"/>
  <c r="F86" i="44"/>
  <c r="F87" i="44"/>
  <c r="F10" i="44"/>
  <c r="F9" i="44"/>
  <c r="F6" i="44"/>
  <c r="F5" i="44"/>
  <c r="F8" i="44"/>
  <c r="F7" i="44"/>
  <c r="F4" i="44"/>
  <c r="B278" i="44"/>
  <c r="B329" i="44"/>
  <c r="B330" i="44"/>
  <c r="B331" i="44"/>
  <c r="B324" i="44"/>
  <c r="B325" i="44"/>
  <c r="B326" i="44"/>
  <c r="B327" i="44"/>
  <c r="B328" i="44"/>
  <c r="B459" i="44"/>
  <c r="B458" i="44"/>
  <c r="B451" i="44"/>
  <c r="B457" i="44"/>
  <c r="B450" i="44"/>
  <c r="B456" i="44"/>
  <c r="B454" i="44"/>
  <c r="B449" i="44"/>
  <c r="B448" i="44"/>
  <c r="B446" i="44"/>
  <c r="B453" i="44"/>
  <c r="B447" i="44"/>
  <c r="B452" i="44"/>
  <c r="B455" i="44"/>
  <c r="B439" i="44"/>
  <c r="B436" i="44"/>
  <c r="B445" i="44"/>
  <c r="B440" i="44"/>
  <c r="B442" i="44"/>
  <c r="B444" i="44"/>
  <c r="B441" i="44"/>
  <c r="B437" i="44"/>
  <c r="B425" i="44"/>
  <c r="B435" i="44"/>
  <c r="B434" i="44"/>
  <c r="B433" i="44"/>
  <c r="B432" i="44"/>
  <c r="B431" i="44"/>
  <c r="B427" i="44"/>
  <c r="B426" i="44"/>
  <c r="B419" i="44"/>
  <c r="B422" i="44"/>
  <c r="B421" i="44"/>
  <c r="B420" i="44"/>
  <c r="B423" i="44"/>
  <c r="B424" i="44"/>
  <c r="B418" i="44"/>
  <c r="B416" i="44"/>
  <c r="B417" i="44"/>
  <c r="B410" i="44"/>
  <c r="B415" i="44"/>
  <c r="B413" i="44"/>
  <c r="B412" i="44"/>
  <c r="B407" i="44"/>
  <c r="B409" i="44"/>
  <c r="B408" i="44"/>
  <c r="B392" i="44"/>
  <c r="B398" i="44"/>
  <c r="B406" i="44"/>
  <c r="B404" i="44"/>
  <c r="B397" i="44"/>
  <c r="B402" i="44"/>
  <c r="B400" i="44"/>
  <c r="B405" i="44"/>
  <c r="B394" i="44"/>
  <c r="B396" i="44"/>
  <c r="B390" i="44"/>
  <c r="B395" i="44"/>
  <c r="B391" i="44"/>
  <c r="B393" i="44"/>
  <c r="B401" i="44"/>
  <c r="B403" i="44"/>
  <c r="B399" i="44"/>
  <c r="B389" i="44"/>
  <c r="B388" i="44"/>
  <c r="B387" i="44"/>
  <c r="B385" i="44"/>
  <c r="B384" i="44"/>
  <c r="B383" i="44"/>
  <c r="B381" i="44"/>
  <c r="B382" i="44"/>
  <c r="B378" i="44"/>
  <c r="B380" i="44"/>
  <c r="B375" i="44"/>
  <c r="B377" i="44"/>
  <c r="B369" i="44"/>
  <c r="B371" i="44"/>
  <c r="B368" i="44"/>
  <c r="B372" i="44"/>
  <c r="B373" i="44"/>
  <c r="B374" i="44"/>
  <c r="B367" i="44"/>
  <c r="B362" i="44"/>
  <c r="B366" i="44"/>
  <c r="B365" i="44"/>
  <c r="B364" i="44"/>
  <c r="B363" i="44"/>
  <c r="B359" i="44"/>
  <c r="B361" i="44"/>
  <c r="B358" i="44"/>
  <c r="B357" i="44"/>
  <c r="B356" i="44"/>
  <c r="B355" i="44"/>
  <c r="B353" i="44"/>
  <c r="B354" i="44"/>
  <c r="B351" i="44"/>
  <c r="B352" i="44"/>
  <c r="B350" i="44"/>
  <c r="B349" i="44"/>
  <c r="B347" i="44"/>
  <c r="B346" i="44"/>
  <c r="B348" i="44"/>
  <c r="B343" i="44"/>
  <c r="B344" i="44"/>
  <c r="B341" i="44"/>
  <c r="B340" i="44"/>
  <c r="B342" i="44"/>
  <c r="B345" i="44"/>
  <c r="B336" i="44"/>
  <c r="B339" i="44"/>
  <c r="B337" i="44"/>
  <c r="B338" i="44"/>
  <c r="B332" i="44"/>
  <c r="B334" i="44"/>
  <c r="B335" i="44"/>
  <c r="B333" i="44"/>
  <c r="B321" i="44"/>
  <c r="B323" i="44"/>
  <c r="B322" i="44"/>
  <c r="B320" i="44"/>
  <c r="B319" i="44"/>
  <c r="B313" i="44"/>
  <c r="B314" i="44"/>
  <c r="B318" i="44"/>
  <c r="B316" i="44"/>
  <c r="B315" i="44"/>
  <c r="B317" i="44"/>
  <c r="B312" i="44"/>
  <c r="B305" i="44"/>
  <c r="B306" i="44"/>
  <c r="B308" i="44"/>
  <c r="B311" i="44"/>
  <c r="B310" i="44"/>
  <c r="B307" i="44"/>
  <c r="B309" i="44"/>
  <c r="B304" i="44"/>
  <c r="B299" i="44"/>
  <c r="B303" i="44"/>
  <c r="B302" i="44"/>
  <c r="B301" i="44"/>
  <c r="B300" i="44"/>
  <c r="B298" i="44"/>
  <c r="B294" i="44"/>
  <c r="B295" i="44"/>
  <c r="B296" i="44"/>
  <c r="B297" i="44"/>
  <c r="B292" i="44"/>
  <c r="B290" i="44"/>
  <c r="B291" i="44"/>
  <c r="B293" i="44"/>
  <c r="B289" i="44"/>
  <c r="B286" i="44"/>
  <c r="B285" i="44"/>
  <c r="B284" i="44"/>
  <c r="B287" i="44"/>
  <c r="B282" i="44"/>
  <c r="B283" i="44"/>
  <c r="B281" i="44"/>
  <c r="B221" i="44"/>
  <c r="B225" i="44"/>
  <c r="B224" i="44"/>
  <c r="B223" i="44"/>
  <c r="B222" i="44"/>
  <c r="B216" i="44"/>
  <c r="B215" i="44"/>
  <c r="B214" i="44"/>
  <c r="B218" i="44"/>
  <c r="B217" i="44"/>
  <c r="B219" i="44"/>
  <c r="B220" i="44"/>
  <c r="B213" i="44"/>
  <c r="B273" i="44"/>
  <c r="B276" i="44"/>
  <c r="B275" i="44"/>
  <c r="B274" i="44"/>
  <c r="B271" i="44"/>
  <c r="B270" i="44"/>
  <c r="B272" i="44"/>
  <c r="B267" i="44"/>
  <c r="B266" i="44"/>
  <c r="B268" i="44"/>
  <c r="B269" i="44"/>
  <c r="B260" i="44"/>
  <c r="B265" i="44"/>
  <c r="B264" i="44"/>
  <c r="B263" i="44"/>
  <c r="B261" i="44"/>
  <c r="B262" i="44"/>
  <c r="B259" i="44"/>
  <c r="B257" i="44"/>
  <c r="B256" i="44"/>
  <c r="B258" i="44"/>
  <c r="B255" i="44"/>
  <c r="B251" i="44"/>
  <c r="B253" i="44"/>
  <c r="B254" i="44"/>
  <c r="B252" i="44"/>
  <c r="B247" i="44"/>
  <c r="B250" i="44"/>
  <c r="B249" i="44"/>
  <c r="B248" i="44"/>
  <c r="B246" i="44"/>
  <c r="B244" i="44"/>
  <c r="B245" i="44"/>
  <c r="B243" i="44"/>
  <c r="B242" i="44"/>
  <c r="B238" i="44"/>
  <c r="B239" i="44"/>
  <c r="B240" i="44"/>
  <c r="B241" i="44"/>
  <c r="B237" i="44"/>
  <c r="B236" i="44"/>
  <c r="B232" i="44"/>
  <c r="B235" i="44"/>
  <c r="B233" i="44"/>
  <c r="B234" i="44"/>
  <c r="B231" i="44"/>
  <c r="B226" i="44"/>
  <c r="B230" i="44"/>
  <c r="B229" i="44"/>
  <c r="B228" i="44"/>
  <c r="B227" i="44"/>
  <c r="B208" i="44"/>
  <c r="B212" i="44"/>
  <c r="B209" i="44"/>
  <c r="B210" i="44"/>
  <c r="B211" i="44"/>
  <c r="B207" i="44"/>
  <c r="B206" i="44"/>
  <c r="B205" i="44"/>
  <c r="B204" i="44"/>
  <c r="B199" i="44"/>
  <c r="B201" i="44"/>
  <c r="B202" i="44"/>
  <c r="B203" i="44"/>
  <c r="B198" i="44"/>
  <c r="B196" i="44"/>
  <c r="B197" i="44"/>
  <c r="B188" i="44"/>
  <c r="B194" i="44"/>
  <c r="B193" i="44"/>
  <c r="B192" i="44"/>
  <c r="B191" i="44"/>
  <c r="B190" i="44"/>
  <c r="B189" i="44"/>
  <c r="B187" i="44"/>
  <c r="B186" i="44"/>
  <c r="B185" i="44"/>
  <c r="B174" i="44"/>
  <c r="B183" i="44"/>
  <c r="B180" i="44"/>
  <c r="B184" i="44"/>
  <c r="B179" i="44"/>
  <c r="B176" i="44"/>
  <c r="B178" i="44"/>
  <c r="B177" i="44"/>
  <c r="B182" i="44"/>
  <c r="B175" i="44"/>
  <c r="B181" i="44"/>
  <c r="B172" i="44"/>
  <c r="B173" i="44"/>
  <c r="B171" i="44"/>
  <c r="B170" i="44"/>
  <c r="B168" i="44"/>
  <c r="B169" i="44"/>
  <c r="B167" i="44"/>
  <c r="B165" i="44"/>
  <c r="B166" i="44"/>
  <c r="B161" i="44"/>
  <c r="B157" i="44"/>
  <c r="B163" i="44"/>
  <c r="B159" i="44"/>
  <c r="B164" i="44"/>
  <c r="B158" i="44"/>
  <c r="B162" i="44"/>
  <c r="B160" i="44"/>
  <c r="B156" i="44"/>
  <c r="B155" i="44"/>
  <c r="B154" i="44"/>
  <c r="B152" i="44"/>
  <c r="B151" i="44"/>
  <c r="B153" i="44"/>
  <c r="B150" i="44"/>
  <c r="B149" i="44"/>
  <c r="B148" i="44"/>
  <c r="B144" i="44"/>
  <c r="B145" i="44"/>
  <c r="B146" i="44"/>
  <c r="B147" i="44"/>
  <c r="B143" i="44"/>
  <c r="B142" i="44"/>
  <c r="B141" i="44"/>
  <c r="B139" i="44"/>
  <c r="B140" i="44"/>
  <c r="B135" i="44"/>
  <c r="B137" i="44"/>
  <c r="B136" i="44"/>
  <c r="B138" i="44"/>
  <c r="B134" i="44"/>
  <c r="B133" i="44"/>
  <c r="B132" i="44"/>
  <c r="B128" i="44"/>
  <c r="B130" i="44"/>
  <c r="B127" i="44"/>
  <c r="B126" i="44"/>
  <c r="B131" i="44"/>
  <c r="B125" i="44"/>
  <c r="B124" i="44"/>
  <c r="B120" i="44"/>
  <c r="B122" i="44"/>
  <c r="B123" i="44"/>
  <c r="B121" i="44"/>
  <c r="B119" i="44"/>
  <c r="B116" i="44"/>
  <c r="B118" i="44"/>
  <c r="B117" i="44"/>
  <c r="B109" i="44"/>
  <c r="B115" i="44"/>
  <c r="B110" i="44"/>
  <c r="B114" i="44"/>
  <c r="B113" i="44"/>
  <c r="B111" i="44"/>
  <c r="B112" i="44"/>
  <c r="B103" i="44"/>
  <c r="B106" i="44"/>
  <c r="B105" i="44"/>
  <c r="B108" i="44"/>
  <c r="B104" i="44"/>
  <c r="B107" i="44"/>
  <c r="B102" i="44"/>
  <c r="B101" i="44"/>
  <c r="B97" i="44"/>
  <c r="B95" i="44"/>
  <c r="B98" i="44"/>
  <c r="B99" i="44"/>
  <c r="B94" i="44"/>
  <c r="B91" i="44"/>
  <c r="B90" i="44"/>
  <c r="B92" i="44"/>
  <c r="B93" i="44"/>
  <c r="B89" i="44"/>
  <c r="B88" i="44"/>
  <c r="B76" i="44"/>
  <c r="B78" i="44"/>
  <c r="B77" i="44"/>
  <c r="B75" i="44"/>
  <c r="B79" i="44"/>
  <c r="B73" i="44"/>
  <c r="B74" i="44"/>
  <c r="B71" i="44"/>
  <c r="B70" i="44"/>
  <c r="B69" i="44"/>
  <c r="B67" i="44"/>
  <c r="B66" i="44"/>
  <c r="B68" i="44"/>
  <c r="B62" i="44"/>
  <c r="B65" i="44"/>
  <c r="B63" i="44"/>
  <c r="B64" i="44"/>
  <c r="B61" i="44"/>
  <c r="B59" i="44"/>
  <c r="B60" i="44"/>
  <c r="B57" i="44"/>
  <c r="B56" i="44"/>
  <c r="B55" i="44"/>
  <c r="B51" i="44"/>
  <c r="B52" i="44"/>
  <c r="B50" i="44"/>
  <c r="B49" i="44"/>
  <c r="B48" i="44"/>
  <c r="B46" i="44"/>
  <c r="B42" i="44"/>
  <c r="B47" i="44"/>
  <c r="B44" i="44"/>
  <c r="B45" i="44"/>
  <c r="B43" i="44"/>
  <c r="B41" i="44"/>
  <c r="B40" i="44"/>
  <c r="B39" i="44"/>
  <c r="B38" i="44"/>
  <c r="B37" i="44"/>
  <c r="B35" i="44"/>
  <c r="B36" i="44"/>
  <c r="B34" i="44"/>
  <c r="B33" i="44"/>
  <c r="B32" i="44"/>
  <c r="B29" i="44"/>
  <c r="B31" i="44"/>
  <c r="B30" i="44"/>
  <c r="B27" i="44"/>
  <c r="B26" i="44"/>
  <c r="B24" i="44"/>
  <c r="B25" i="44"/>
  <c r="B22" i="44"/>
  <c r="B23" i="44"/>
  <c r="B21" i="44"/>
  <c r="B20" i="44"/>
  <c r="B19" i="44"/>
  <c r="B18" i="44"/>
  <c r="B15" i="44"/>
  <c r="B16" i="44"/>
  <c r="B17" i="44"/>
  <c r="B13" i="44"/>
  <c r="B14" i="44"/>
  <c r="B12" i="44"/>
  <c r="B11" i="44"/>
  <c r="B80" i="44"/>
  <c r="B81" i="44"/>
  <c r="B82" i="44"/>
  <c r="B83" i="44"/>
  <c r="B84" i="44"/>
  <c r="B85" i="44"/>
  <c r="B86" i="44"/>
  <c r="B87" i="44"/>
  <c r="B10" i="44"/>
  <c r="B9" i="44"/>
  <c r="B6" i="44"/>
  <c r="B5" i="44"/>
  <c r="B8" i="44"/>
  <c r="B7" i="44"/>
  <c r="B4" i="44"/>
  <c r="F1" i="34"/>
  <c r="H1" i="7"/>
  <c r="H1" i="5"/>
  <c r="F128" i="5" s="1"/>
  <c r="F32" i="5"/>
  <c r="D393" i="36"/>
  <c r="A392" i="36"/>
  <c r="B11" i="36"/>
  <c r="B109" i="36"/>
  <c r="B107" i="36"/>
  <c r="B102" i="36"/>
  <c r="B99" i="36"/>
  <c r="B96" i="36"/>
  <c r="D793" i="42"/>
  <c r="D723" i="42"/>
  <c r="D461" i="42"/>
  <c r="C214" i="42"/>
  <c r="C480" i="36"/>
  <c r="A479" i="36"/>
  <c r="A477" i="36"/>
  <c r="A476" i="36"/>
  <c r="A475" i="36"/>
  <c r="A473" i="36"/>
  <c r="A472" i="36"/>
  <c r="A470" i="36"/>
  <c r="A469" i="36"/>
  <c r="A468" i="36"/>
  <c r="A467" i="36"/>
  <c r="A466" i="36"/>
  <c r="A465" i="36"/>
  <c r="A464" i="36"/>
  <c r="A463" i="36"/>
  <c r="C461" i="36"/>
  <c r="A455" i="36"/>
  <c r="A454" i="36"/>
  <c r="A453" i="36"/>
  <c r="A452" i="36"/>
  <c r="A450" i="36"/>
  <c r="C448" i="36"/>
  <c r="C446" i="36"/>
  <c r="C445" i="36"/>
  <c r="C444" i="36"/>
  <c r="C443" i="36"/>
  <c r="C442" i="36"/>
  <c r="C441" i="36"/>
  <c r="A439" i="36"/>
  <c r="D436" i="36"/>
  <c r="A436" i="36"/>
  <c r="A435" i="36"/>
  <c r="C434" i="36"/>
  <c r="A433" i="36"/>
  <c r="C432" i="36"/>
  <c r="D431" i="36"/>
  <c r="A431" i="36"/>
  <c r="A430" i="36"/>
  <c r="C426" i="36"/>
  <c r="D425" i="36"/>
  <c r="A425" i="36"/>
  <c r="D423" i="36"/>
  <c r="A423" i="36"/>
  <c r="C422" i="36"/>
  <c r="C421" i="36"/>
  <c r="A419" i="36"/>
  <c r="C417" i="36"/>
  <c r="A416" i="36"/>
  <c r="C415" i="36"/>
  <c r="D414" i="36"/>
  <c r="A414" i="36"/>
  <c r="D412" i="36"/>
  <c r="A412" i="36"/>
  <c r="C411" i="36"/>
  <c r="A409" i="36"/>
  <c r="C407" i="36"/>
  <c r="D406" i="36"/>
  <c r="D405" i="36"/>
  <c r="A405" i="36"/>
  <c r="D403" i="36"/>
  <c r="A402" i="36"/>
  <c r="D398" i="36"/>
  <c r="A397" i="36"/>
  <c r="C396" i="36"/>
  <c r="D395" i="36"/>
  <c r="A395" i="36"/>
  <c r="A393" i="36"/>
  <c r="A388" i="36"/>
  <c r="A387" i="36"/>
  <c r="A480" i="36"/>
  <c r="C478" i="36"/>
  <c r="C477" i="36"/>
  <c r="C476" i="36"/>
  <c r="C475" i="36"/>
  <c r="D474" i="36"/>
  <c r="A474" i="36"/>
  <c r="C472" i="36"/>
  <c r="C471" i="36"/>
  <c r="C470" i="36"/>
  <c r="C468" i="36"/>
  <c r="C467" i="36"/>
  <c r="C466" i="36"/>
  <c r="C465" i="36"/>
  <c r="C464" i="36"/>
  <c r="C463" i="36"/>
  <c r="A462" i="36"/>
  <c r="A461" i="36"/>
  <c r="A459" i="36"/>
  <c r="D457" i="36"/>
  <c r="C456" i="36"/>
  <c r="C455" i="36"/>
  <c r="C454" i="36"/>
  <c r="D453" i="36"/>
  <c r="C452" i="36"/>
  <c r="A451" i="36"/>
  <c r="A449" i="36"/>
  <c r="A448" i="36"/>
  <c r="A447" i="36"/>
  <c r="A445" i="36"/>
  <c r="A444" i="36"/>
  <c r="A443" i="36"/>
  <c r="A442" i="36"/>
  <c r="A441" i="36"/>
  <c r="A437" i="36"/>
  <c r="C436" i="36"/>
  <c r="D434" i="36"/>
  <c r="A434" i="36"/>
  <c r="C433" i="36"/>
  <c r="D432" i="36"/>
  <c r="A432" i="36"/>
  <c r="C431" i="36"/>
  <c r="C430" i="36"/>
  <c r="A428" i="36"/>
  <c r="A426" i="36"/>
  <c r="C425" i="36"/>
  <c r="D424" i="36"/>
  <c r="A424" i="36"/>
  <c r="D422" i="36"/>
  <c r="A422" i="36"/>
  <c r="A421" i="36"/>
  <c r="D417" i="36"/>
  <c r="A417" i="36"/>
  <c r="D415" i="36"/>
  <c r="C414" i="36"/>
  <c r="D413" i="36"/>
  <c r="A413" i="36"/>
  <c r="C412" i="36"/>
  <c r="D411" i="36"/>
  <c r="A411" i="36"/>
  <c r="D407" i="36"/>
  <c r="A407" i="36"/>
  <c r="A406" i="36"/>
  <c r="C405" i="36"/>
  <c r="A404" i="36"/>
  <c r="C403" i="36"/>
  <c r="C402" i="36"/>
  <c r="A398" i="36"/>
  <c r="D396" i="36"/>
  <c r="A396" i="36"/>
  <c r="C395" i="36"/>
  <c r="A394" i="36"/>
  <c r="C392" i="36"/>
  <c r="A390" i="36"/>
  <c r="C387" i="36"/>
  <c r="D386" i="36"/>
  <c r="A384" i="36"/>
  <c r="A382" i="36"/>
  <c r="A381" i="36"/>
  <c r="A380" i="36"/>
  <c r="A379" i="36"/>
  <c r="A378" i="36"/>
  <c r="A377" i="36"/>
  <c r="A376" i="36"/>
  <c r="A375" i="36"/>
  <c r="A374" i="36"/>
  <c r="A369" i="36"/>
  <c r="C367" i="36"/>
  <c r="A366" i="36"/>
  <c r="A365" i="36"/>
  <c r="A363" i="36"/>
  <c r="A362" i="36"/>
  <c r="A361" i="36"/>
  <c r="C360" i="36"/>
  <c r="C359" i="36"/>
  <c r="C358" i="36"/>
  <c r="C357" i="36"/>
  <c r="A355" i="36"/>
  <c r="A353" i="36"/>
  <c r="A352" i="36"/>
  <c r="A351" i="36"/>
  <c r="A350" i="36"/>
  <c r="A349" i="36"/>
  <c r="C347" i="36"/>
  <c r="C346" i="36"/>
  <c r="C344" i="36"/>
  <c r="A343" i="36"/>
  <c r="D341" i="36"/>
  <c r="C339" i="36"/>
  <c r="A337" i="36"/>
  <c r="A334" i="36"/>
  <c r="A332" i="36"/>
  <c r="A331" i="36"/>
  <c r="A329" i="36"/>
  <c r="A328" i="36"/>
  <c r="A327" i="36"/>
  <c r="A326" i="36"/>
  <c r="A325" i="36"/>
  <c r="A324" i="36"/>
  <c r="A323" i="36"/>
  <c r="A321" i="36"/>
  <c r="A320" i="36"/>
  <c r="A319" i="36"/>
  <c r="A318" i="36"/>
  <c r="A316" i="36"/>
  <c r="A315" i="36"/>
  <c r="C312" i="36"/>
  <c r="C311" i="36"/>
  <c r="C310" i="36"/>
  <c r="C309" i="36"/>
  <c r="C308" i="36"/>
  <c r="C307" i="36"/>
  <c r="A305" i="36"/>
  <c r="C303" i="36"/>
  <c r="C302" i="36"/>
  <c r="C301" i="36"/>
  <c r="C300" i="36"/>
  <c r="C299" i="36"/>
  <c r="C298" i="36"/>
  <c r="C297" i="36"/>
  <c r="C296" i="36"/>
  <c r="C295" i="36"/>
  <c r="C294" i="36"/>
  <c r="C292" i="36"/>
  <c r="C290" i="36"/>
  <c r="A288" i="36"/>
  <c r="C286" i="36"/>
  <c r="A285" i="36"/>
  <c r="A284" i="36"/>
  <c r="A283" i="36"/>
  <c r="A386" i="36"/>
  <c r="C382" i="36"/>
  <c r="C381" i="36"/>
  <c r="C380" i="36"/>
  <c r="C379" i="36"/>
  <c r="C378" i="36"/>
  <c r="C377" i="36"/>
  <c r="C376" i="36"/>
  <c r="C375" i="36"/>
  <c r="C374" i="36"/>
  <c r="A372" i="36"/>
  <c r="A370" i="36"/>
  <c r="C365" i="36"/>
  <c r="C364" i="36"/>
  <c r="C363" i="36"/>
  <c r="C362" i="36"/>
  <c r="C361" i="36"/>
  <c r="D360" i="36"/>
  <c r="A360" i="36"/>
  <c r="A359" i="36"/>
  <c r="A358" i="36"/>
  <c r="A357" i="36"/>
  <c r="C353" i="36"/>
  <c r="C352" i="36"/>
  <c r="C351" i="36"/>
  <c r="C350" i="36"/>
  <c r="C349" i="36"/>
  <c r="A348" i="36"/>
  <c r="A347" i="36"/>
  <c r="A346" i="36"/>
  <c r="A345" i="36"/>
  <c r="A341" i="36"/>
  <c r="A340" i="36"/>
  <c r="A339" i="36"/>
  <c r="A335" i="36"/>
  <c r="A333" i="36"/>
  <c r="C331" i="36"/>
  <c r="A330" i="36"/>
  <c r="C328" i="36"/>
  <c r="D327" i="36"/>
  <c r="C326" i="36"/>
  <c r="C325" i="36"/>
  <c r="C324" i="36"/>
  <c r="D323" i="36"/>
  <c r="A322" i="36"/>
  <c r="D320" i="36"/>
  <c r="C319" i="36"/>
  <c r="C318" i="36"/>
  <c r="C317" i="36"/>
  <c r="C315" i="36"/>
  <c r="A313" i="36"/>
  <c r="A312" i="36"/>
  <c r="A311" i="36"/>
  <c r="A310" i="36"/>
  <c r="A309" i="36"/>
  <c r="A308" i="36"/>
  <c r="A307" i="36"/>
  <c r="D303" i="36"/>
  <c r="A303" i="36"/>
  <c r="A302" i="36"/>
  <c r="A301" i="36"/>
  <c r="A300" i="36"/>
  <c r="A299" i="36"/>
  <c r="A298" i="36"/>
  <c r="A297" i="36"/>
  <c r="A296" i="36"/>
  <c r="A295" i="36"/>
  <c r="A293" i="36"/>
  <c r="A292" i="36"/>
  <c r="A290" i="36"/>
  <c r="D286" i="36"/>
  <c r="A286" i="36"/>
  <c r="C284" i="36"/>
  <c r="C283" i="36"/>
  <c r="A282" i="36"/>
  <c r="A281" i="36"/>
  <c r="A279" i="36"/>
  <c r="B9" i="36"/>
  <c r="B13" i="36"/>
  <c r="B17" i="36"/>
  <c r="B20" i="36"/>
  <c r="B23" i="36"/>
  <c r="B26" i="36"/>
  <c r="B28" i="36"/>
  <c r="B31" i="36"/>
  <c r="B38" i="36"/>
  <c r="B42" i="36"/>
  <c r="B44" i="36"/>
  <c r="B51" i="36"/>
  <c r="B55" i="36"/>
  <c r="B58" i="36"/>
  <c r="B61" i="36"/>
  <c r="B64" i="36"/>
  <c r="B67" i="36"/>
  <c r="B69" i="36"/>
  <c r="B72" i="36"/>
  <c r="B75" i="36"/>
  <c r="B78" i="36"/>
  <c r="B83" i="36"/>
  <c r="B85" i="36"/>
  <c r="B90" i="36"/>
  <c r="B112" i="36"/>
  <c r="B115" i="36"/>
  <c r="B120" i="36"/>
  <c r="B123" i="36"/>
  <c r="B126" i="36"/>
  <c r="B128" i="36"/>
  <c r="B136" i="36"/>
  <c r="B139" i="36"/>
  <c r="B141" i="36"/>
  <c r="B144" i="36"/>
  <c r="B148" i="36"/>
  <c r="B155" i="36"/>
  <c r="B157" i="36"/>
  <c r="B159" i="36"/>
  <c r="A163" i="36"/>
  <c r="A164" i="36"/>
  <c r="A165" i="36"/>
  <c r="A166" i="36"/>
  <c r="A167" i="36"/>
  <c r="A168" i="36"/>
  <c r="A170" i="36"/>
  <c r="A171" i="36"/>
  <c r="A172" i="36"/>
  <c r="A173" i="36"/>
  <c r="A174" i="36"/>
  <c r="C175" i="36"/>
  <c r="C176" i="36"/>
  <c r="C177" i="36"/>
  <c r="A181" i="36"/>
  <c r="D181" i="36"/>
  <c r="C182" i="36"/>
  <c r="C183" i="36"/>
  <c r="C184" i="36"/>
  <c r="C185" i="36"/>
  <c r="C186" i="36"/>
  <c r="C187" i="36"/>
  <c r="C188" i="36"/>
  <c r="C189" i="36"/>
  <c r="C191" i="36"/>
  <c r="C192" i="36"/>
  <c r="C193" i="36"/>
  <c r="C194" i="36"/>
  <c r="C195" i="36"/>
  <c r="A199" i="36"/>
  <c r="C200" i="36"/>
  <c r="C201" i="36"/>
  <c r="C202" i="36"/>
  <c r="C203" i="36"/>
  <c r="C204" i="36"/>
  <c r="C205" i="36"/>
  <c r="C206" i="36"/>
  <c r="C207" i="36"/>
  <c r="C208" i="36"/>
  <c r="A210" i="36"/>
  <c r="A211" i="36"/>
  <c r="A213" i="36"/>
  <c r="C216" i="36"/>
  <c r="C217" i="36"/>
  <c r="C218" i="36"/>
  <c r="C219" i="36"/>
  <c r="C220" i="36"/>
  <c r="C221" i="36"/>
  <c r="C222" i="36"/>
  <c r="C224" i="36"/>
  <c r="C225" i="36"/>
  <c r="C226" i="36"/>
  <c r="C227" i="36"/>
  <c r="C228" i="36"/>
  <c r="C229" i="36"/>
  <c r="C230" i="36"/>
  <c r="C231" i="36"/>
  <c r="C232" i="36"/>
  <c r="C233" i="36"/>
  <c r="C234" i="36"/>
  <c r="C236" i="36"/>
  <c r="A240" i="36"/>
  <c r="A241" i="36"/>
  <c r="A243" i="36"/>
  <c r="A244" i="36"/>
  <c r="A245" i="36"/>
  <c r="A246" i="36"/>
  <c r="A247" i="36"/>
  <c r="A249" i="36"/>
  <c r="A250" i="36"/>
  <c r="A251" i="36"/>
  <c r="A252" i="36"/>
  <c r="D253" i="36"/>
  <c r="C254" i="36"/>
  <c r="C255" i="36"/>
  <c r="C256" i="36"/>
  <c r="C257" i="36"/>
  <c r="C258" i="36"/>
  <c r="C260" i="36"/>
  <c r="C261" i="36"/>
  <c r="A262" i="36"/>
  <c r="A263" i="36"/>
  <c r="A264" i="36"/>
  <c r="A265" i="36"/>
  <c r="A266" i="36"/>
  <c r="A267" i="36"/>
  <c r="A269" i="36"/>
  <c r="A271" i="36"/>
  <c r="A272" i="36"/>
  <c r="A273" i="36"/>
  <c r="A275" i="36"/>
  <c r="C277" i="36"/>
  <c r="A280" i="36"/>
  <c r="B15" i="36"/>
  <c r="B18" i="36"/>
  <c r="B21" i="36"/>
  <c r="B27" i="36"/>
  <c r="B29" i="36"/>
  <c r="B33" i="36"/>
  <c r="B37" i="36"/>
  <c r="B39" i="36"/>
  <c r="B43" i="36"/>
  <c r="B46" i="36"/>
  <c r="B50" i="36"/>
  <c r="B52" i="36"/>
  <c r="B57" i="36"/>
  <c r="B63" i="36"/>
  <c r="B65" i="36"/>
  <c r="B68" i="36"/>
  <c r="B71" i="36"/>
  <c r="B74" i="36"/>
  <c r="B76" i="36"/>
  <c r="B80" i="36"/>
  <c r="B84" i="36"/>
  <c r="B91" i="36"/>
  <c r="B113" i="36"/>
  <c r="B116" i="36"/>
  <c r="B118" i="36"/>
  <c r="B122" i="36"/>
  <c r="B125" i="36"/>
  <c r="B127" i="36"/>
  <c r="B129" i="36"/>
  <c r="B133" i="36"/>
  <c r="B138" i="36"/>
  <c r="B140" i="36"/>
  <c r="B146" i="36"/>
  <c r="B151" i="36"/>
  <c r="B156" i="36"/>
  <c r="B158" i="36"/>
  <c r="A161" i="36"/>
  <c r="C163" i="36"/>
  <c r="C164" i="36"/>
  <c r="C166" i="36"/>
  <c r="C167" i="36"/>
  <c r="C168" i="36"/>
  <c r="C169" i="36"/>
  <c r="C170" i="36"/>
  <c r="C171" i="36"/>
  <c r="C172" i="36"/>
  <c r="C173" i="36"/>
  <c r="C174" i="36"/>
  <c r="A175" i="36"/>
  <c r="A176" i="36"/>
  <c r="A177" i="36"/>
  <c r="C181" i="36"/>
  <c r="A182" i="36"/>
  <c r="A183" i="36"/>
  <c r="A184" i="36"/>
  <c r="A185" i="36"/>
  <c r="A186" i="36"/>
  <c r="A188" i="36"/>
  <c r="A189" i="36"/>
  <c r="A190" i="36"/>
  <c r="A191" i="36"/>
  <c r="A192" i="36"/>
  <c r="A193" i="36"/>
  <c r="A194" i="36"/>
  <c r="A195" i="36"/>
  <c r="A197" i="36"/>
  <c r="C199" i="36"/>
  <c r="A200" i="36"/>
  <c r="A201" i="36"/>
  <c r="A202" i="36"/>
  <c r="A204" i="36"/>
  <c r="A205" i="36"/>
  <c r="A206" i="36"/>
  <c r="A207" i="36"/>
  <c r="A208" i="36"/>
  <c r="C210" i="36"/>
  <c r="C211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8" i="36"/>
  <c r="A229" i="36"/>
  <c r="A230" i="36"/>
  <c r="A231" i="36"/>
  <c r="A233" i="36"/>
  <c r="A234" i="36"/>
  <c r="A235" i="36"/>
  <c r="A236" i="36"/>
  <c r="A238" i="36"/>
  <c r="C240" i="36"/>
  <c r="A242" i="36"/>
  <c r="C243" i="36"/>
  <c r="C244" i="36"/>
  <c r="C245" i="36"/>
  <c r="C246" i="36"/>
  <c r="C247" i="36"/>
  <c r="C248" i="36"/>
  <c r="C249" i="36"/>
  <c r="C250" i="36"/>
  <c r="A253" i="36"/>
  <c r="A254" i="36"/>
  <c r="A255" i="36"/>
  <c r="A257" i="36"/>
  <c r="A258" i="36"/>
  <c r="A259" i="36"/>
  <c r="A260" i="36"/>
  <c r="A261" i="36"/>
  <c r="D261" i="36"/>
  <c r="C262" i="36"/>
  <c r="C263" i="36"/>
  <c r="C264" i="36"/>
  <c r="C265" i="36"/>
  <c r="C266" i="36"/>
  <c r="A268" i="36"/>
  <c r="C269" i="36"/>
  <c r="C270" i="36"/>
  <c r="C271" i="36"/>
  <c r="C272" i="36"/>
  <c r="A277" i="36"/>
  <c r="A278" i="36"/>
  <c r="F1" i="37"/>
  <c r="D229" i="37" s="1"/>
  <c r="A280" i="37"/>
  <c r="A260" i="37"/>
  <c r="A196" i="37"/>
  <c r="A20" i="37"/>
  <c r="A178" i="37"/>
  <c r="D273" i="37"/>
  <c r="D264" i="37"/>
  <c r="D252" i="37"/>
  <c r="D248" i="37"/>
  <c r="D246" i="37"/>
  <c r="D40" i="37"/>
  <c r="D244" i="37"/>
  <c r="D238" i="37"/>
  <c r="C287" i="37"/>
  <c r="C265" i="37"/>
  <c r="C263" i="37"/>
  <c r="C248" i="37"/>
  <c r="C223" i="37"/>
  <c r="C221" i="37"/>
  <c r="C194" i="37"/>
  <c r="C169" i="37"/>
  <c r="C154" i="37"/>
  <c r="C152" i="37"/>
  <c r="C150" i="37"/>
  <c r="C141" i="37"/>
  <c r="C139" i="37"/>
  <c r="C110" i="37"/>
  <c r="C264" i="37"/>
  <c r="C262" i="37"/>
  <c r="C256" i="37"/>
  <c r="C252" i="37"/>
  <c r="C246" i="37"/>
  <c r="C243" i="37"/>
  <c r="C211" i="37"/>
  <c r="C191" i="37"/>
  <c r="C188" i="37"/>
  <c r="C181" i="37"/>
  <c r="C132" i="37"/>
  <c r="C127" i="37"/>
  <c r="C97" i="37"/>
  <c r="C87" i="37"/>
  <c r="C68" i="37"/>
  <c r="C77" i="37"/>
  <c r="C42" i="37"/>
  <c r="C35" i="37"/>
  <c r="C33" i="37"/>
  <c r="C31" i="37"/>
  <c r="C47" i="37"/>
  <c r="C36" i="37"/>
  <c r="C34" i="37"/>
  <c r="C26" i="37"/>
  <c r="C15" i="37"/>
  <c r="C11" i="37"/>
  <c r="C5" i="37"/>
  <c r="A4" i="37"/>
  <c r="A312" i="37"/>
  <c r="A238" i="37"/>
  <c r="A216" i="37"/>
  <c r="A218" i="37"/>
  <c r="A222" i="37"/>
  <c r="A198" i="37"/>
  <c r="A200" i="37"/>
  <c r="A182" i="37"/>
  <c r="A151" i="37"/>
  <c r="A153" i="37"/>
  <c r="A157" i="37"/>
  <c r="A159" i="37"/>
  <c r="A161" i="37"/>
  <c r="A167" i="37"/>
  <c r="A305" i="37"/>
  <c r="A307" i="37"/>
  <c r="A309" i="37"/>
  <c r="A317" i="37"/>
  <c r="A319" i="37"/>
  <c r="A253" i="37"/>
  <c r="A255" i="37"/>
  <c r="A247" i="37"/>
  <c r="A233" i="37"/>
  <c r="A237" i="37"/>
  <c r="A187" i="37"/>
  <c r="A189" i="37"/>
  <c r="A148" i="37"/>
  <c r="A150" i="37"/>
  <c r="A119" i="37"/>
  <c r="A121" i="37"/>
  <c r="A123" i="37"/>
  <c r="A96" i="37"/>
  <c r="A97" i="37"/>
  <c r="A105" i="37"/>
  <c r="A77" i="37"/>
  <c r="A57" i="37"/>
  <c r="A61" i="37"/>
  <c r="A40" i="37"/>
  <c r="A42" i="37"/>
  <c r="A44" i="37"/>
  <c r="A46" i="37"/>
  <c r="A23" i="37"/>
  <c r="A25" i="37"/>
  <c r="A100" i="37"/>
  <c r="A64" i="37"/>
  <c r="A66" i="37"/>
  <c r="A58" i="37"/>
  <c r="A60" i="37"/>
  <c r="A62" i="37"/>
  <c r="A45" i="37"/>
  <c r="A47" i="37"/>
  <c r="A26" i="37"/>
  <c r="A7" i="37"/>
  <c r="A11" i="37"/>
  <c r="A15" i="37"/>
  <c r="H1" i="9"/>
  <c r="C26" i="9" s="1"/>
  <c r="H1" i="10"/>
  <c r="C15" i="10" s="1"/>
  <c r="A40" i="7"/>
  <c r="A30" i="7"/>
  <c r="G1" i="19"/>
  <c r="A29" i="19" s="1"/>
  <c r="H1" i="32"/>
  <c r="C6" i="32" s="1"/>
  <c r="F1" i="18"/>
  <c r="C31" i="18" s="1"/>
  <c r="F1" i="31"/>
  <c r="A24" i="31" s="1"/>
  <c r="C21" i="31"/>
  <c r="C32" i="29"/>
  <c r="C60" i="8"/>
  <c r="E88" i="5"/>
  <c r="E50" i="5"/>
  <c r="B37" i="5"/>
  <c r="B28" i="5"/>
  <c r="C20" i="5"/>
  <c r="B19" i="5"/>
  <c r="E15" i="5"/>
  <c r="B15" i="5"/>
  <c r="B13" i="5"/>
  <c r="E10" i="5"/>
  <c r="C9" i="5"/>
  <c r="E8" i="5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116" i="21"/>
  <c r="E117" i="21"/>
  <c r="E118" i="21"/>
  <c r="E119" i="21"/>
  <c r="E120" i="21"/>
  <c r="E121" i="21"/>
  <c r="E122" i="21"/>
  <c r="E123" i="21"/>
  <c r="E124" i="21"/>
  <c r="E125" i="21"/>
  <c r="E126" i="21"/>
  <c r="E127" i="21"/>
  <c r="E128" i="21"/>
  <c r="E129" i="21"/>
  <c r="E130" i="21"/>
  <c r="E131" i="21"/>
  <c r="E132" i="21"/>
  <c r="E133" i="21"/>
  <c r="E134" i="21"/>
  <c r="E135" i="21"/>
  <c r="E136" i="21"/>
  <c r="E137" i="21"/>
  <c r="E138" i="21"/>
  <c r="E139" i="21"/>
  <c r="E140" i="21"/>
  <c r="E141" i="21"/>
  <c r="E142" i="21"/>
  <c r="E143" i="21"/>
  <c r="E144" i="21"/>
  <c r="E145" i="21"/>
  <c r="E146" i="21"/>
  <c r="E147" i="21"/>
  <c r="E148" i="21"/>
  <c r="E149" i="21"/>
  <c r="E150" i="21"/>
  <c r="E151" i="21"/>
  <c r="E152" i="21"/>
  <c r="E153" i="21"/>
  <c r="E154" i="21"/>
  <c r="E155" i="21"/>
  <c r="E156" i="21"/>
  <c r="E157" i="21"/>
  <c r="E158" i="21"/>
  <c r="E159" i="21"/>
  <c r="E160" i="21"/>
  <c r="E161" i="21"/>
  <c r="E162" i="21"/>
  <c r="E163" i="21"/>
  <c r="E164" i="21"/>
  <c r="E165" i="21"/>
  <c r="E166" i="21"/>
  <c r="E167" i="21"/>
  <c r="E168" i="21"/>
  <c r="E169" i="21"/>
  <c r="E170" i="21"/>
  <c r="E171" i="21"/>
  <c r="E172" i="21"/>
  <c r="E173" i="21"/>
  <c r="E174" i="21"/>
  <c r="E175" i="21"/>
  <c r="E176" i="21"/>
  <c r="E177" i="21"/>
  <c r="E178" i="21"/>
  <c r="E179" i="21"/>
  <c r="E180" i="21"/>
  <c r="E181" i="21"/>
  <c r="E182" i="21"/>
  <c r="E183" i="21"/>
  <c r="E184" i="21"/>
  <c r="E185" i="21"/>
  <c r="E186" i="21"/>
  <c r="E187" i="21"/>
  <c r="E188" i="21"/>
  <c r="E189" i="21"/>
  <c r="E190" i="21"/>
  <c r="E191" i="21"/>
  <c r="E192" i="21"/>
  <c r="E193" i="21"/>
  <c r="E194" i="21"/>
  <c r="E195" i="21"/>
  <c r="E196" i="21"/>
  <c r="E197" i="21"/>
  <c r="E198" i="21"/>
  <c r="E199" i="21"/>
  <c r="E200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E3" i="21"/>
  <c r="E2" i="21"/>
  <c r="C53" i="5"/>
  <c r="E33" i="5"/>
  <c r="B10" i="5"/>
  <c r="E39" i="5"/>
  <c r="B17" i="5"/>
  <c r="C22" i="5"/>
  <c r="C42" i="5"/>
  <c r="E17" i="5"/>
  <c r="E23" i="5"/>
  <c r="B45" i="5"/>
  <c r="B6" i="5"/>
  <c r="C11" i="5"/>
  <c r="E6" i="5"/>
  <c r="F5" i="8"/>
  <c r="F47" i="8"/>
  <c r="F39" i="7"/>
  <c r="F47" i="10"/>
  <c r="E56" i="5"/>
  <c r="C69" i="5"/>
  <c r="C24" i="5"/>
  <c r="E29" i="5"/>
  <c r="C32" i="5"/>
  <c r="B35" i="5"/>
  <c r="C38" i="5"/>
  <c r="E43" i="5"/>
  <c r="B62" i="5"/>
  <c r="C126" i="5"/>
  <c r="F41" i="7"/>
  <c r="D6" i="7"/>
  <c r="F7" i="7"/>
  <c r="E104" i="5"/>
  <c r="E25" i="5"/>
  <c r="C27" i="5"/>
  <c r="E28" i="5"/>
  <c r="C30" i="5"/>
  <c r="E31" i="5"/>
  <c r="B33" i="5"/>
  <c r="E37" i="5"/>
  <c r="C47" i="5"/>
  <c r="E48" i="5"/>
  <c r="B50" i="5"/>
  <c r="C51" i="5"/>
  <c r="E52" i="5"/>
  <c r="B54" i="5"/>
  <c r="B56" i="5"/>
  <c r="C57" i="5"/>
  <c r="E58" i="5"/>
  <c r="E60" i="5"/>
  <c r="B64" i="5"/>
  <c r="B72" i="5"/>
  <c r="C83" i="5"/>
  <c r="D14" i="8"/>
  <c r="A41" i="8"/>
  <c r="D6" i="10"/>
  <c r="C99" i="5"/>
  <c r="B121" i="5"/>
  <c r="A26" i="7"/>
  <c r="B60" i="5"/>
  <c r="C61" i="5"/>
  <c r="E62" i="5"/>
  <c r="C65" i="5"/>
  <c r="B68" i="5"/>
  <c r="E70" i="5"/>
  <c r="E74" i="5"/>
  <c r="C80" i="5"/>
  <c r="C91" i="5"/>
  <c r="E96" i="5"/>
  <c r="B102" i="5"/>
  <c r="C107" i="5"/>
  <c r="C7" i="7"/>
  <c r="C19" i="7"/>
  <c r="C32" i="7"/>
  <c r="A53" i="7"/>
  <c r="C10" i="7"/>
  <c r="C16" i="7"/>
  <c r="C22" i="7"/>
  <c r="F35" i="7"/>
  <c r="C43" i="7"/>
  <c r="A57" i="7"/>
  <c r="C5" i="7"/>
  <c r="C14" i="7"/>
  <c r="F17" i="7"/>
  <c r="A21" i="7"/>
  <c r="C27" i="7"/>
  <c r="F30" i="7"/>
  <c r="A55" i="7"/>
  <c r="F14" i="8"/>
  <c r="C6" i="7"/>
  <c r="A8" i="7"/>
  <c r="F9" i="7"/>
  <c r="C12" i="7"/>
  <c r="F13" i="7"/>
  <c r="C15" i="7"/>
  <c r="C18" i="7"/>
  <c r="C20" i="7"/>
  <c r="C23" i="7"/>
  <c r="C25" i="7"/>
  <c r="A28" i="7"/>
  <c r="F29" i="7"/>
  <c r="C31" i="7"/>
  <c r="C33" i="7"/>
  <c r="A42" i="7"/>
  <c r="A52" i="7"/>
  <c r="A54" i="7"/>
  <c r="A56" i="7"/>
  <c r="C8" i="8"/>
  <c r="C26" i="8"/>
  <c r="C41" i="7"/>
  <c r="F42" i="7"/>
  <c r="D48" i="7"/>
  <c r="D51" i="7"/>
  <c r="D53" i="7"/>
  <c r="D54" i="7"/>
  <c r="D55" i="7"/>
  <c r="D56" i="7"/>
  <c r="A59" i="7"/>
  <c r="A11" i="8"/>
  <c r="C20" i="8"/>
  <c r="C33" i="8"/>
  <c r="A6" i="8"/>
  <c r="F9" i="8"/>
  <c r="C12" i="8"/>
  <c r="F17" i="8"/>
  <c r="C23" i="8"/>
  <c r="F29" i="8"/>
  <c r="F5" i="7"/>
  <c r="C8" i="7"/>
  <c r="C9" i="7"/>
  <c r="A10" i="7"/>
  <c r="A12" i="7"/>
  <c r="F12" i="7"/>
  <c r="C13" i="7"/>
  <c r="A14" i="7"/>
  <c r="F14" i="7"/>
  <c r="F15" i="7"/>
  <c r="F16" i="7"/>
  <c r="A18" i="7"/>
  <c r="F22" i="7"/>
  <c r="F23" i="7"/>
  <c r="F24" i="7"/>
  <c r="F25" i="7"/>
  <c r="C26" i="7"/>
  <c r="A27" i="7"/>
  <c r="F27" i="7"/>
  <c r="C30" i="7"/>
  <c r="A31" i="7"/>
  <c r="F31" i="7"/>
  <c r="F32" i="7"/>
  <c r="F34" i="7"/>
  <c r="C35" i="7"/>
  <c r="A36" i="7"/>
  <c r="C37" i="7"/>
  <c r="A38" i="7"/>
  <c r="C42" i="7"/>
  <c r="A43" i="7"/>
  <c r="A48" i="7"/>
  <c r="A49" i="7"/>
  <c r="F49" i="7"/>
  <c r="C51" i="7"/>
  <c r="C52" i="7"/>
  <c r="C53" i="7"/>
  <c r="F53" i="7"/>
  <c r="C54" i="7"/>
  <c r="C55" i="7"/>
  <c r="F55" i="7"/>
  <c r="C56" i="7"/>
  <c r="F56" i="7"/>
  <c r="C57" i="7"/>
  <c r="A58" i="7"/>
  <c r="C5" i="8"/>
  <c r="F7" i="8"/>
  <c r="A9" i="8"/>
  <c r="C10" i="8"/>
  <c r="F11" i="8"/>
  <c r="C13" i="8"/>
  <c r="A16" i="8"/>
  <c r="A19" i="8"/>
  <c r="F21" i="8"/>
  <c r="F24" i="8"/>
  <c r="A28" i="8"/>
  <c r="F31" i="8"/>
  <c r="C36" i="8"/>
  <c r="A50" i="8"/>
  <c r="F57" i="7"/>
  <c r="D58" i="7"/>
  <c r="A5" i="8"/>
  <c r="F6" i="8"/>
  <c r="A8" i="8"/>
  <c r="F8" i="8"/>
  <c r="C9" i="8"/>
  <c r="A10" i="8"/>
  <c r="F10" i="8"/>
  <c r="C11" i="8"/>
  <c r="A12" i="8"/>
  <c r="F12" i="8"/>
  <c r="F13" i="8"/>
  <c r="C15" i="8"/>
  <c r="F16" i="8"/>
  <c r="C18" i="8"/>
  <c r="F19" i="8"/>
  <c r="A21" i="8"/>
  <c r="F22" i="8"/>
  <c r="A24" i="8"/>
  <c r="C25" i="8"/>
  <c r="C27" i="8"/>
  <c r="F28" i="8"/>
  <c r="F30" i="8"/>
  <c r="C32" i="8"/>
  <c r="F34" i="8"/>
  <c r="A38" i="8"/>
  <c r="D47" i="8"/>
  <c r="C54" i="8"/>
  <c r="C14" i="8"/>
  <c r="A15" i="8"/>
  <c r="F15" i="8"/>
  <c r="C16" i="8"/>
  <c r="C17" i="8"/>
  <c r="A18" i="8"/>
  <c r="F18" i="8"/>
  <c r="C19" i="8"/>
  <c r="A20" i="8"/>
  <c r="F20" i="8"/>
  <c r="C21" i="8"/>
  <c r="C22" i="8"/>
  <c r="A23" i="8"/>
  <c r="F23" i="8"/>
  <c r="C24" i="8"/>
  <c r="A25" i="8"/>
  <c r="F25" i="8"/>
  <c r="F26" i="8"/>
  <c r="F27" i="8"/>
  <c r="C28" i="8"/>
  <c r="C29" i="8"/>
  <c r="C30" i="8"/>
  <c r="C31" i="8"/>
  <c r="A32" i="8"/>
  <c r="F32" i="8"/>
  <c r="A34" i="8"/>
  <c r="C35" i="8"/>
  <c r="C37" i="8"/>
  <c r="C39" i="8"/>
  <c r="A46" i="8"/>
  <c r="A49" i="8"/>
  <c r="C52" i="8"/>
  <c r="C56" i="8"/>
  <c r="A33" i="8"/>
  <c r="F33" i="8"/>
  <c r="C34" i="8"/>
  <c r="A35" i="8"/>
  <c r="F35" i="8"/>
  <c r="F36" i="8"/>
  <c r="F37" i="8"/>
  <c r="F38" i="8"/>
  <c r="A40" i="8"/>
  <c r="F46" i="8"/>
  <c r="D48" i="8"/>
  <c r="D49" i="8"/>
  <c r="C51" i="8"/>
  <c r="C53" i="8"/>
  <c r="C55" i="8"/>
  <c r="C58" i="8"/>
  <c r="B11" i="5"/>
  <c r="E11" i="5"/>
  <c r="E13" i="5"/>
  <c r="C38" i="8"/>
  <c r="A39" i="8"/>
  <c r="F39" i="8"/>
  <c r="C40" i="8"/>
  <c r="F41" i="8"/>
  <c r="D46" i="8"/>
  <c r="A47" i="8"/>
  <c r="A48" i="8"/>
  <c r="F48" i="8"/>
  <c r="C49" i="8"/>
  <c r="F49" i="8"/>
  <c r="F50" i="8"/>
  <c r="F51" i="8"/>
  <c r="F52" i="8"/>
  <c r="F53" i="8"/>
  <c r="F54" i="8"/>
  <c r="F55" i="8"/>
  <c r="C57" i="8"/>
  <c r="C59" i="8"/>
  <c r="F56" i="8"/>
  <c r="F57" i="8"/>
  <c r="F58" i="8"/>
  <c r="F59" i="8"/>
  <c r="C50" i="8"/>
  <c r="A51" i="8"/>
  <c r="D51" i="8"/>
  <c r="A52" i="8"/>
  <c r="D52" i="8"/>
  <c r="A53" i="8"/>
  <c r="D53" i="8"/>
  <c r="A54" i="8"/>
  <c r="D54" i="8"/>
  <c r="A55" i="8"/>
  <c r="D55" i="8"/>
  <c r="A56" i="8"/>
  <c r="D56" i="8"/>
  <c r="A57" i="8"/>
  <c r="D57" i="8"/>
  <c r="A58" i="8"/>
  <c r="D58" i="8"/>
  <c r="A59" i="8"/>
  <c r="D59" i="8"/>
  <c r="A60" i="8"/>
  <c r="E135" i="5"/>
  <c r="B132" i="5"/>
  <c r="B127" i="5"/>
  <c r="C124" i="5"/>
  <c r="B123" i="5"/>
  <c r="C120" i="5"/>
  <c r="B119" i="5"/>
  <c r="B116" i="5"/>
  <c r="E114" i="5"/>
  <c r="C113" i="5"/>
  <c r="B112" i="5"/>
  <c r="E110" i="5"/>
  <c r="C109" i="5"/>
  <c r="B108" i="5"/>
  <c r="E106" i="5"/>
  <c r="B100" i="5"/>
  <c r="C97" i="5"/>
  <c r="B96" i="5"/>
  <c r="E94" i="5"/>
  <c r="B92" i="5"/>
  <c r="E90" i="5"/>
  <c r="C89" i="5"/>
  <c r="B88" i="5"/>
  <c r="E86" i="5"/>
  <c r="C85" i="5"/>
  <c r="B84" i="5"/>
  <c r="B81" i="5"/>
  <c r="E79" i="5"/>
  <c r="B78" i="5"/>
  <c r="E76" i="5"/>
  <c r="C70" i="5"/>
  <c r="E69" i="5"/>
  <c r="B69" i="5"/>
  <c r="E67" i="5"/>
  <c r="B67" i="5"/>
  <c r="C66" i="5"/>
  <c r="E65" i="5"/>
  <c r="B65" i="5"/>
  <c r="C64" i="5"/>
  <c r="C63" i="5"/>
  <c r="G44" i="9"/>
  <c r="D29" i="9"/>
  <c r="B4" i="5"/>
  <c r="B5" i="5"/>
  <c r="E5" i="5"/>
  <c r="C6" i="5"/>
  <c r="B7" i="5"/>
  <c r="E7" i="5"/>
  <c r="C8" i="5"/>
  <c r="B9" i="5"/>
  <c r="E9" i="5"/>
  <c r="C10" i="5"/>
  <c r="B12" i="5"/>
  <c r="E12" i="5"/>
  <c r="B14" i="5"/>
  <c r="C17" i="5"/>
  <c r="E18" i="5"/>
  <c r="C19" i="5"/>
  <c r="E20" i="5"/>
  <c r="C21" i="5"/>
  <c r="B22" i="5"/>
  <c r="E22" i="5"/>
  <c r="C23" i="5"/>
  <c r="B24" i="5"/>
  <c r="E24" i="5"/>
  <c r="C25" i="5"/>
  <c r="B26" i="5"/>
  <c r="E27" i="5"/>
  <c r="C28" i="5"/>
  <c r="B29" i="5"/>
  <c r="B34" i="5"/>
  <c r="E34" i="5"/>
  <c r="C35" i="5"/>
  <c r="B36" i="5"/>
  <c r="C37" i="5"/>
  <c r="B38" i="5"/>
  <c r="E38" i="5"/>
  <c r="B40" i="5"/>
  <c r="E40" i="5"/>
  <c r="C41" i="5"/>
  <c r="E42" i="5"/>
  <c r="C43" i="5"/>
  <c r="B44" i="5"/>
  <c r="E44" i="5"/>
  <c r="E45" i="5"/>
  <c r="E49" i="5"/>
  <c r="C50" i="5"/>
  <c r="B51" i="5"/>
  <c r="E51" i="5"/>
  <c r="C52" i="5"/>
  <c r="B53" i="5"/>
  <c r="E53" i="5"/>
  <c r="E54" i="5"/>
  <c r="E55" i="5"/>
  <c r="B57" i="5"/>
  <c r="E57" i="5"/>
  <c r="C58" i="5"/>
  <c r="B59" i="5"/>
  <c r="E59" i="5"/>
  <c r="C60" i="5"/>
  <c r="B61" i="5"/>
  <c r="E68" i="5"/>
  <c r="B70" i="5"/>
  <c r="C71" i="5"/>
  <c r="C73" i="5"/>
  <c r="B76" i="5"/>
  <c r="E78" i="5"/>
  <c r="B82" i="5"/>
  <c r="C87" i="5"/>
  <c r="B90" i="5"/>
  <c r="E92" i="5"/>
  <c r="C95" i="5"/>
  <c r="B98" i="5"/>
  <c r="E100" i="5"/>
  <c r="C103" i="5"/>
  <c r="B106" i="5"/>
  <c r="E108" i="5"/>
  <c r="F20" i="9"/>
  <c r="D25" i="9"/>
  <c r="D26" i="9"/>
  <c r="F12" i="10"/>
  <c r="A22" i="10"/>
  <c r="A34" i="9"/>
  <c r="D34" i="9"/>
  <c r="A35" i="9"/>
  <c r="C8" i="10"/>
  <c r="F8" i="10"/>
  <c r="C26" i="10"/>
  <c r="C27" i="10"/>
  <c r="C7" i="8"/>
  <c r="A17" i="29"/>
  <c r="A6" i="29"/>
  <c r="B21" i="29"/>
  <c r="A10" i="29"/>
  <c r="A22" i="29"/>
  <c r="A27" i="29"/>
  <c r="D16" i="8"/>
  <c r="A12" i="29"/>
  <c r="A8" i="29"/>
  <c r="A4" i="29"/>
  <c r="A19" i="29"/>
  <c r="A31" i="29"/>
  <c r="D38" i="8"/>
  <c r="D28" i="7"/>
  <c r="F16" i="10"/>
  <c r="D17" i="10"/>
  <c r="F32" i="10"/>
  <c r="F33" i="10"/>
  <c r="B5" i="31"/>
  <c r="A29" i="29"/>
  <c r="B5" i="29"/>
  <c r="B18" i="29"/>
  <c r="D27" i="8"/>
  <c r="D39" i="7"/>
  <c r="D18" i="7"/>
  <c r="A49" i="19"/>
  <c r="C72" i="5"/>
  <c r="B73" i="5"/>
  <c r="E73" i="5"/>
  <c r="C74" i="5"/>
  <c r="B75" i="5"/>
  <c r="E75" i="5"/>
  <c r="C76" i="5"/>
  <c r="B80" i="5"/>
  <c r="E80" i="5"/>
  <c r="E81" i="5"/>
  <c r="C82" i="5"/>
  <c r="B83" i="5"/>
  <c r="C84" i="5"/>
  <c r="B85" i="5"/>
  <c r="E85" i="5"/>
  <c r="C86" i="5"/>
  <c r="B87" i="5"/>
  <c r="E87" i="5"/>
  <c r="C88" i="5"/>
  <c r="B89" i="5"/>
  <c r="E89" i="5"/>
  <c r="C90" i="5"/>
  <c r="B91" i="5"/>
  <c r="C94" i="5"/>
  <c r="B95" i="5"/>
  <c r="E95" i="5"/>
  <c r="C96" i="5"/>
  <c r="B97" i="5"/>
  <c r="E97" i="5"/>
  <c r="C98" i="5"/>
  <c r="B99" i="5"/>
  <c r="E99" i="5"/>
  <c r="C100" i="5"/>
  <c r="B101" i="5"/>
  <c r="E101" i="5"/>
  <c r="C102" i="5"/>
  <c r="B103" i="5"/>
  <c r="E103" i="5"/>
  <c r="C104" i="5"/>
  <c r="E107" i="5"/>
  <c r="C108" i="5"/>
  <c r="B109" i="5"/>
  <c r="E109" i="5"/>
  <c r="C110" i="5"/>
  <c r="B111" i="5"/>
  <c r="E111" i="5"/>
  <c r="C112" i="5"/>
  <c r="B113" i="5"/>
  <c r="E113" i="5"/>
  <c r="C114" i="5"/>
  <c r="B115" i="5"/>
  <c r="E115" i="5"/>
  <c r="C116" i="5"/>
  <c r="B117" i="5"/>
  <c r="E117" i="5"/>
  <c r="C121" i="5"/>
  <c r="B122" i="5"/>
  <c r="E122" i="5"/>
  <c r="C123" i="5"/>
  <c r="B124" i="5"/>
  <c r="E124" i="5"/>
  <c r="C125" i="5"/>
  <c r="B126" i="5"/>
  <c r="E126" i="5"/>
  <c r="E127" i="5"/>
  <c r="E128" i="5"/>
  <c r="B133" i="5"/>
  <c r="B135" i="5"/>
  <c r="A49" i="10"/>
  <c r="A22" i="31"/>
  <c r="F59" i="10"/>
  <c r="C60" i="10"/>
  <c r="A10" i="31"/>
  <c r="A16" i="31"/>
  <c r="A8" i="31"/>
  <c r="A11" i="31"/>
  <c r="A13" i="29"/>
  <c r="A11" i="29"/>
  <c r="A9" i="29"/>
  <c r="A7" i="29"/>
  <c r="A5" i="29"/>
  <c r="A23" i="29"/>
  <c r="A20" i="29"/>
  <c r="A18" i="29"/>
  <c r="A32" i="29"/>
  <c r="A30" i="29"/>
  <c r="A28" i="29"/>
  <c r="B4" i="29"/>
  <c r="B6" i="29"/>
  <c r="B17" i="29"/>
  <c r="B19" i="29"/>
  <c r="D34" i="8"/>
  <c r="D22" i="8"/>
  <c r="D7" i="8"/>
  <c r="D34" i="7"/>
  <c r="D22" i="7"/>
  <c r="B20" i="29"/>
  <c r="B23" i="29"/>
  <c r="D41" i="8"/>
  <c r="D36" i="8"/>
  <c r="D32" i="8"/>
  <c r="D24" i="8"/>
  <c r="D18" i="8"/>
  <c r="D10" i="8"/>
  <c r="D42" i="7"/>
  <c r="D37" i="7"/>
  <c r="B22" i="29"/>
  <c r="D40" i="8"/>
  <c r="D37" i="8"/>
  <c r="D35" i="8"/>
  <c r="D33" i="8"/>
  <c r="D28" i="8"/>
  <c r="D26" i="8"/>
  <c r="D23" i="8"/>
  <c r="D19" i="8"/>
  <c r="D17" i="8"/>
  <c r="D11" i="8"/>
  <c r="D9" i="8"/>
  <c r="D5" i="8"/>
  <c r="D41" i="7"/>
  <c r="D38" i="7"/>
  <c r="D35" i="7"/>
  <c r="D19" i="7"/>
  <c r="D12" i="7"/>
  <c r="D10" i="7"/>
  <c r="D7" i="7"/>
  <c r="C18" i="29"/>
  <c r="C7" i="29"/>
  <c r="C5" i="29"/>
  <c r="C27" i="29"/>
  <c r="C47" i="18"/>
  <c r="C38" i="18"/>
  <c r="A33" i="18"/>
  <c r="C22" i="18"/>
  <c r="C4" i="29"/>
  <c r="C6" i="29"/>
  <c r="C11" i="29"/>
  <c r="A31" i="18"/>
  <c r="A43" i="18"/>
  <c r="B38" i="18"/>
  <c r="C34" i="18"/>
  <c r="A34" i="18"/>
  <c r="B33" i="18"/>
  <c r="B19" i="18"/>
  <c r="C7" i="18"/>
  <c r="A44" i="25"/>
  <c r="C5" i="31"/>
  <c r="B4" i="31"/>
  <c r="A7" i="31"/>
  <c r="A5" i="31"/>
  <c r="A17" i="31"/>
  <c r="A23" i="31"/>
  <c r="A21" i="31"/>
  <c r="A74" i="25"/>
  <c r="A22" i="25"/>
  <c r="C15" i="31"/>
  <c r="A8" i="19"/>
  <c r="B13" i="18"/>
  <c r="B8" i="18"/>
  <c r="A5" i="18"/>
  <c r="A31" i="19"/>
  <c r="C5" i="25"/>
  <c r="C4" i="31"/>
  <c r="C11" i="31"/>
  <c r="A62" i="19"/>
  <c r="A10" i="19"/>
  <c r="A24" i="19"/>
  <c r="A2" i="10"/>
  <c r="A24" i="9"/>
  <c r="A11" i="19"/>
  <c r="A9" i="19"/>
  <c r="A25" i="19"/>
  <c r="A40" i="19"/>
  <c r="D16" i="19"/>
  <c r="A41" i="19"/>
  <c r="A64" i="19"/>
  <c r="A60" i="19"/>
  <c r="A52" i="19"/>
  <c r="B51" i="19"/>
  <c r="D12" i="19"/>
  <c r="A43" i="8"/>
  <c r="C47" i="8"/>
  <c r="A58" i="19"/>
  <c r="B4" i="19"/>
  <c r="B29" i="19"/>
  <c r="B57" i="19"/>
  <c r="A2" i="8"/>
  <c r="A37" i="8"/>
  <c r="D41" i="19"/>
  <c r="A27" i="19"/>
  <c r="D8" i="8"/>
  <c r="A13" i="8"/>
  <c r="D36" i="7"/>
  <c r="A7" i="8"/>
  <c r="A23" i="7"/>
  <c r="D21" i="8"/>
  <c r="D33" i="7"/>
  <c r="A26" i="8"/>
  <c r="A63" i="19"/>
  <c r="A57" i="19"/>
  <c r="B37" i="19"/>
  <c r="D17" i="19"/>
  <c r="D15" i="19"/>
  <c r="D13" i="19"/>
  <c r="D11" i="19"/>
  <c r="D9" i="19"/>
  <c r="D23" i="19"/>
  <c r="A21" i="19"/>
  <c r="A35" i="19"/>
  <c r="E36" i="5"/>
  <c r="F49" i="9"/>
  <c r="A11" i="9"/>
  <c r="D23" i="9"/>
  <c r="A30" i="8"/>
  <c r="A18" i="32"/>
  <c r="C132" i="5"/>
  <c r="D27" i="32"/>
  <c r="C127" i="5"/>
  <c r="C81" i="5"/>
  <c r="B20" i="18"/>
  <c r="B5" i="18"/>
  <c r="A2" i="7"/>
  <c r="C133" i="5"/>
  <c r="C55" i="5"/>
  <c r="E132" i="5"/>
  <c r="E26" i="5"/>
  <c r="C50" i="7"/>
  <c r="D8" i="7"/>
  <c r="C134" i="5"/>
  <c r="C36" i="5"/>
  <c r="C54" i="5"/>
  <c r="E133" i="5"/>
  <c r="E134" i="5"/>
  <c r="C48" i="7"/>
  <c r="A20" i="34"/>
  <c r="A24" i="7"/>
  <c r="A20" i="7"/>
  <c r="D14" i="7"/>
  <c r="D32" i="7"/>
  <c r="C6" i="8"/>
  <c r="A29" i="8"/>
  <c r="A31" i="8"/>
  <c r="A22" i="8"/>
  <c r="A7" i="34"/>
  <c r="A22" i="34"/>
  <c r="A16" i="34"/>
  <c r="A26" i="34"/>
  <c r="A6" i="7"/>
  <c r="A9" i="7"/>
  <c r="D23" i="7"/>
  <c r="D24" i="7"/>
  <c r="A32" i="7"/>
  <c r="A33" i="7"/>
  <c r="A34" i="7"/>
  <c r="A18" i="34"/>
  <c r="A14" i="34"/>
  <c r="A30" i="34"/>
  <c r="C4" i="34"/>
  <c r="C8" i="34"/>
  <c r="C7" i="34"/>
  <c r="C18" i="34"/>
  <c r="C14" i="34"/>
  <c r="D33" i="10"/>
  <c r="C46" i="10"/>
  <c r="C46" i="8"/>
  <c r="C48" i="8"/>
  <c r="A8" i="34"/>
  <c r="A4" i="34"/>
  <c r="A21" i="34"/>
  <c r="A19" i="34"/>
  <c r="A17" i="34"/>
  <c r="A15" i="34"/>
  <c r="A13" i="34"/>
  <c r="C5" i="34"/>
  <c r="C6" i="34"/>
  <c r="C21" i="34"/>
  <c r="C19" i="34"/>
  <c r="C17" i="34"/>
  <c r="C13" i="34"/>
  <c r="C29" i="34"/>
  <c r="D20" i="8"/>
  <c r="A36" i="8"/>
  <c r="D12" i="8"/>
  <c r="D13" i="8"/>
  <c r="D29" i="8"/>
  <c r="D30" i="8"/>
  <c r="D31" i="8"/>
  <c r="C4" i="5"/>
  <c r="C135" i="5"/>
  <c r="A25" i="29"/>
  <c r="A21" i="29"/>
  <c r="D25" i="8"/>
  <c r="A27" i="8"/>
  <c r="C26" i="34"/>
  <c r="A20" i="10"/>
  <c r="C118" i="5"/>
  <c r="D39" i="8"/>
  <c r="D16" i="7"/>
  <c r="G45" i="7"/>
  <c r="A15" i="29"/>
  <c r="A17" i="8"/>
  <c r="D50" i="8"/>
  <c r="C29" i="5"/>
  <c r="C45" i="5"/>
  <c r="C28" i="34"/>
  <c r="C27" i="34"/>
  <c r="A29" i="7"/>
  <c r="C79" i="5"/>
  <c r="A2" i="29"/>
  <c r="A2" i="31"/>
  <c r="A16" i="7"/>
  <c r="A19" i="7"/>
  <c r="A29" i="10"/>
  <c r="A31" i="9"/>
  <c r="D15" i="8"/>
  <c r="A14" i="8"/>
  <c r="F48" i="7"/>
  <c r="B11" i="29"/>
  <c r="B27" i="29"/>
  <c r="E63" i="5"/>
  <c r="D6" i="8"/>
  <c r="C49" i="7"/>
  <c r="F6" i="32" l="1"/>
  <c r="C13" i="32"/>
  <c r="C459" i="36"/>
  <c r="D460" i="36"/>
  <c r="D388" i="36"/>
  <c r="B93" i="36"/>
  <c r="B97" i="36"/>
  <c r="B101" i="36"/>
  <c r="B103" i="36"/>
  <c r="B106" i="36"/>
  <c r="A482" i="36"/>
  <c r="A490" i="36"/>
  <c r="A487" i="36"/>
  <c r="A486" i="36"/>
  <c r="A484" i="36"/>
  <c r="A485" i="36"/>
  <c r="C484" i="36"/>
  <c r="C490" i="36"/>
  <c r="B6" i="36"/>
  <c r="A456" i="36"/>
  <c r="A16" i="19"/>
  <c r="A5" i="19"/>
  <c r="A7" i="19"/>
  <c r="A13" i="19"/>
  <c r="A17" i="19"/>
  <c r="A19" i="19"/>
  <c r="B17" i="19"/>
  <c r="A46" i="19"/>
  <c r="A12" i="19"/>
  <c r="A37" i="19"/>
  <c r="A39" i="19"/>
  <c r="C473" i="42"/>
  <c r="C534" i="42"/>
  <c r="C221" i="42"/>
  <c r="C657" i="42"/>
  <c r="A243" i="37"/>
  <c r="A206" i="37"/>
  <c r="C45" i="37"/>
  <c r="C206" i="37"/>
  <c r="C190" i="37"/>
  <c r="D266" i="37"/>
  <c r="C17" i="9"/>
  <c r="C20" i="10"/>
  <c r="D40" i="10"/>
  <c r="D31" i="10"/>
  <c r="C49" i="9"/>
  <c r="A28" i="10"/>
  <c r="A23" i="9"/>
  <c r="F50" i="10"/>
  <c r="A57" i="10"/>
  <c r="F11" i="10"/>
  <c r="A55" i="9"/>
  <c r="C58" i="9"/>
  <c r="D49" i="9"/>
  <c r="C57" i="10"/>
  <c r="F7" i="10"/>
  <c r="F10" i="10"/>
  <c r="F11" i="9"/>
  <c r="D56" i="10"/>
  <c r="C50" i="9"/>
  <c r="F48" i="9"/>
  <c r="A47" i="9"/>
  <c r="F48" i="10"/>
  <c r="C41" i="9"/>
  <c r="C47" i="10"/>
  <c r="A56" i="10"/>
  <c r="D59" i="10"/>
  <c r="D36" i="10"/>
  <c r="C16" i="9"/>
  <c r="A17" i="10"/>
  <c r="C23" i="10"/>
  <c r="A36" i="10"/>
  <c r="F38" i="9"/>
  <c r="F22" i="10"/>
  <c r="D50" i="9"/>
  <c r="C55" i="10"/>
  <c r="F27" i="10"/>
  <c r="C31" i="10"/>
  <c r="C36" i="10"/>
  <c r="A30" i="10"/>
  <c r="C55" i="9"/>
  <c r="D5" i="9"/>
  <c r="F8" i="9"/>
  <c r="A98" i="37"/>
  <c r="A303" i="37"/>
  <c r="C275" i="37"/>
  <c r="A39" i="10"/>
  <c r="F15" i="10"/>
  <c r="D8" i="10"/>
  <c r="F56" i="10"/>
  <c r="D23" i="10"/>
  <c r="C20" i="9"/>
  <c r="A14" i="10"/>
  <c r="F19" i="9"/>
  <c r="A6" i="10"/>
  <c r="C19" i="9"/>
  <c r="A24" i="10"/>
  <c r="A32" i="9"/>
  <c r="D28" i="10"/>
  <c r="D5" i="10"/>
  <c r="D14" i="9"/>
  <c r="A59" i="10"/>
  <c r="D46" i="10"/>
  <c r="F9" i="10"/>
  <c r="C9" i="10"/>
  <c r="D55" i="9"/>
  <c r="D15" i="10"/>
  <c r="A41" i="10"/>
  <c r="A7" i="10"/>
  <c r="A55" i="10"/>
  <c r="D58" i="10"/>
  <c r="F30" i="10"/>
  <c r="D19" i="9"/>
  <c r="C54" i="10"/>
  <c r="C38" i="10"/>
  <c r="C35" i="9"/>
  <c r="F7" i="9"/>
  <c r="D53" i="10"/>
  <c r="C53" i="10"/>
  <c r="C21" i="10"/>
  <c r="C38" i="9"/>
  <c r="C34" i="9"/>
  <c r="A142" i="37"/>
  <c r="A308" i="37"/>
  <c r="C70" i="37"/>
  <c r="C318" i="37"/>
  <c r="D31" i="9"/>
  <c r="A53" i="10"/>
  <c r="C52" i="10"/>
  <c r="F35" i="10"/>
  <c r="F20" i="10"/>
  <c r="D37" i="9"/>
  <c r="C54" i="9"/>
  <c r="C33" i="9"/>
  <c r="C39" i="5"/>
  <c r="B20" i="5"/>
  <c r="A22" i="9"/>
  <c r="E82" i="5"/>
  <c r="C117" i="5"/>
  <c r="B39" i="5"/>
  <c r="C26" i="5"/>
  <c r="C16" i="5"/>
  <c r="A17" i="37"/>
  <c r="A176" i="37"/>
  <c r="A299" i="37"/>
  <c r="A306" i="37"/>
  <c r="C72" i="37"/>
  <c r="C310" i="37"/>
  <c r="A160" i="37"/>
  <c r="F5" i="10"/>
  <c r="C6" i="10"/>
  <c r="C5" i="10"/>
  <c r="D9" i="10"/>
  <c r="C10" i="10"/>
  <c r="D21" i="10"/>
  <c r="F37" i="10"/>
  <c r="F19" i="10"/>
  <c r="F31" i="10"/>
  <c r="F54" i="10"/>
  <c r="F55" i="10"/>
  <c r="A5" i="10"/>
  <c r="D19" i="10"/>
  <c r="C18" i="10"/>
  <c r="C28" i="10"/>
  <c r="D11" i="10"/>
  <c r="F24" i="10"/>
  <c r="C37" i="10"/>
  <c r="D47" i="10"/>
  <c r="D50" i="10"/>
  <c r="F57" i="10"/>
  <c r="C24" i="10"/>
  <c r="A21" i="10"/>
  <c r="D29" i="10"/>
  <c r="A12" i="10"/>
  <c r="C25" i="10"/>
  <c r="A38" i="10"/>
  <c r="D48" i="10"/>
  <c r="A51" i="10"/>
  <c r="C58" i="10"/>
  <c r="D14" i="10"/>
  <c r="C32" i="10"/>
  <c r="D12" i="10"/>
  <c r="D38" i="10"/>
  <c r="D51" i="10"/>
  <c r="D16" i="10"/>
  <c r="A15" i="10"/>
  <c r="A34" i="10"/>
  <c r="A23" i="10"/>
  <c r="A26" i="10"/>
  <c r="C49" i="10"/>
  <c r="F58" i="10"/>
  <c r="D7" i="10"/>
  <c r="F25" i="10"/>
  <c r="A35" i="10"/>
  <c r="A13" i="10"/>
  <c r="D26" i="10"/>
  <c r="C39" i="10"/>
  <c r="C50" i="10"/>
  <c r="A52" i="10"/>
  <c r="C59" i="10"/>
  <c r="A43" i="10"/>
  <c r="D20" i="10"/>
  <c r="D32" i="10"/>
  <c r="A16" i="10"/>
  <c r="A19" i="10"/>
  <c r="C30" i="10"/>
  <c r="C17" i="10"/>
  <c r="A33" i="9"/>
  <c r="D13" i="10"/>
  <c r="F51" i="9"/>
  <c r="C7" i="9"/>
  <c r="A60" i="10"/>
  <c r="F49" i="10"/>
  <c r="F18" i="9"/>
  <c r="F52" i="10"/>
  <c r="A57" i="9"/>
  <c r="D39" i="10"/>
  <c r="C16" i="10"/>
  <c r="A41" i="9"/>
  <c r="C14" i="10"/>
  <c r="A33" i="10"/>
  <c r="A47" i="10"/>
  <c r="F39" i="9"/>
  <c r="A32" i="10"/>
  <c r="D55" i="10"/>
  <c r="D57" i="10"/>
  <c r="D35" i="10"/>
  <c r="F24" i="9"/>
  <c r="C22" i="10"/>
  <c r="A50" i="9"/>
  <c r="C48" i="9"/>
  <c r="C51" i="10"/>
  <c r="C19" i="10"/>
  <c r="C13" i="10"/>
  <c r="C53" i="9"/>
  <c r="A13" i="37"/>
  <c r="A164" i="37"/>
  <c r="A297" i="37"/>
  <c r="A304" i="37"/>
  <c r="C74" i="37"/>
  <c r="C84" i="37"/>
  <c r="D168" i="37"/>
  <c r="E32" i="5"/>
  <c r="B21" i="5"/>
  <c r="E21" i="5"/>
  <c r="C77" i="5"/>
  <c r="B46" i="5"/>
  <c r="B134" i="5"/>
  <c r="E112" i="5"/>
  <c r="E125" i="5"/>
  <c r="E98" i="5"/>
  <c r="E71" i="5"/>
  <c r="C13" i="5"/>
  <c r="B27" i="5"/>
  <c r="B42" i="5"/>
  <c r="C56" i="5"/>
  <c r="E84" i="5"/>
  <c r="C5" i="5"/>
  <c r="C12" i="5"/>
  <c r="B41" i="5"/>
  <c r="E35" i="5"/>
  <c r="B94" i="5"/>
  <c r="B86" i="5"/>
  <c r="E121" i="5"/>
  <c r="C93" i="5"/>
  <c r="C68" i="5"/>
  <c r="B18" i="5"/>
  <c r="C33" i="5"/>
  <c r="C48" i="5"/>
  <c r="E64" i="5"/>
  <c r="E116" i="5"/>
  <c r="E83" i="5"/>
  <c r="C7" i="5"/>
  <c r="C18" i="5"/>
  <c r="E46" i="5"/>
  <c r="C40" i="5"/>
  <c r="B118" i="5"/>
  <c r="C105" i="5"/>
  <c r="C75" i="5"/>
  <c r="E14" i="5"/>
  <c r="B30" i="5"/>
  <c r="C46" i="5"/>
  <c r="E61" i="5"/>
  <c r="B114" i="5"/>
  <c r="B77" i="5"/>
  <c r="E91" i="5"/>
  <c r="B105" i="5"/>
  <c r="E118" i="5"/>
  <c r="E4" i="5"/>
  <c r="B8" i="5"/>
  <c r="B25" i="5"/>
  <c r="C49" i="5"/>
  <c r="E41" i="5"/>
  <c r="E123" i="5"/>
  <c r="B104" i="5"/>
  <c r="B74" i="5"/>
  <c r="C15" i="5"/>
  <c r="E30" i="5"/>
  <c r="B47" i="5"/>
  <c r="C62" i="5"/>
  <c r="E119" i="5"/>
  <c r="E77" i="5"/>
  <c r="C92" i="5"/>
  <c r="E105" i="5"/>
  <c r="C119" i="5"/>
  <c r="A2" i="5"/>
  <c r="C14" i="5"/>
  <c r="B48" i="5"/>
  <c r="B52" i="5"/>
  <c r="B63" i="5"/>
  <c r="E72" i="5"/>
  <c r="B16" i="5"/>
  <c r="E47" i="5"/>
  <c r="C122" i="5"/>
  <c r="C78" i="5"/>
  <c r="C106" i="5"/>
  <c r="B31" i="5"/>
  <c r="B43" i="5"/>
  <c r="E102" i="5"/>
  <c r="C31" i="5"/>
  <c r="B66" i="5"/>
  <c r="B93" i="5"/>
  <c r="B120" i="5"/>
  <c r="E19" i="5"/>
  <c r="C115" i="5"/>
  <c r="B55" i="5"/>
  <c r="C44" i="5"/>
  <c r="E66" i="5"/>
  <c r="C101" i="5"/>
  <c r="B71" i="5"/>
  <c r="E16" i="5"/>
  <c r="B32" i="5"/>
  <c r="B49" i="5"/>
  <c r="C67" i="5"/>
  <c r="B125" i="5"/>
  <c r="B79" i="5"/>
  <c r="E93" i="5"/>
  <c r="B107" i="5"/>
  <c r="E120" i="5"/>
  <c r="C128" i="5"/>
  <c r="C111" i="5"/>
  <c r="B58" i="5"/>
  <c r="A25" i="10"/>
  <c r="F51" i="10"/>
  <c r="C7" i="10"/>
  <c r="C56" i="10"/>
  <c r="D22" i="10"/>
  <c r="A9" i="10"/>
  <c r="C29" i="10"/>
  <c r="C32" i="9"/>
  <c r="A11" i="10"/>
  <c r="C31" i="9"/>
  <c r="F17" i="10"/>
  <c r="A18" i="9"/>
  <c r="A58" i="10"/>
  <c r="A56" i="9"/>
  <c r="D54" i="10"/>
  <c r="A40" i="10"/>
  <c r="C57" i="9"/>
  <c r="C5" i="9"/>
  <c r="A54" i="10"/>
  <c r="F36" i="10"/>
  <c r="A49" i="9"/>
  <c r="C15" i="9"/>
  <c r="F28" i="10"/>
  <c r="A15" i="9"/>
  <c r="D52" i="10"/>
  <c r="C35" i="10"/>
  <c r="F53" i="10"/>
  <c r="A48" i="10"/>
  <c r="D36" i="9"/>
  <c r="A48" i="9"/>
  <c r="F23" i="9"/>
  <c r="D24" i="10"/>
  <c r="A14" i="9"/>
  <c r="A50" i="10"/>
  <c r="F46" i="10"/>
  <c r="F34" i="10"/>
  <c r="D18" i="10"/>
  <c r="F39" i="10"/>
  <c r="C12" i="10"/>
  <c r="A36" i="9"/>
  <c r="C52" i="9"/>
  <c r="F35" i="9"/>
  <c r="B110" i="5"/>
  <c r="C34" i="5"/>
  <c r="B23" i="5"/>
  <c r="C59" i="5"/>
  <c r="A18" i="37"/>
  <c r="A158" i="37"/>
  <c r="A295" i="37"/>
  <c r="A298" i="37"/>
  <c r="C76" i="37"/>
  <c r="C86" i="37"/>
  <c r="F28" i="7"/>
  <c r="F50" i="7"/>
  <c r="C24" i="7"/>
  <c r="F26" i="7"/>
  <c r="D52" i="7"/>
  <c r="C11" i="7"/>
  <c r="C28" i="7"/>
  <c r="D50" i="7"/>
  <c r="F8" i="7"/>
  <c r="F21" i="7"/>
  <c r="A50" i="7"/>
  <c r="F10" i="7"/>
  <c r="C29" i="7"/>
  <c r="F51" i="7"/>
  <c r="C34" i="7"/>
  <c r="A35" i="7"/>
  <c r="F18" i="7"/>
  <c r="F38" i="7"/>
  <c r="D30" i="7"/>
  <c r="D31" i="7"/>
  <c r="D40" i="7"/>
  <c r="D15" i="7"/>
  <c r="G2" i="7"/>
  <c r="A25" i="7"/>
  <c r="A37" i="7"/>
  <c r="C36" i="7"/>
  <c r="F19" i="7"/>
  <c r="C39" i="7"/>
  <c r="D26" i="7"/>
  <c r="D29" i="7"/>
  <c r="A5" i="7"/>
  <c r="A13" i="7"/>
  <c r="F37" i="7"/>
  <c r="C40" i="7"/>
  <c r="D25" i="7"/>
  <c r="A45" i="7"/>
  <c r="A7" i="7"/>
  <c r="F40" i="7"/>
  <c r="C21" i="7"/>
  <c r="F58" i="7"/>
  <c r="D20" i="7"/>
  <c r="C38" i="7"/>
  <c r="A51" i="7"/>
  <c r="A39" i="7"/>
  <c r="A22" i="7"/>
  <c r="A41" i="7"/>
  <c r="C59" i="7"/>
  <c r="D13" i="7"/>
  <c r="D21" i="7"/>
  <c r="A31" i="10"/>
  <c r="F17" i="9"/>
  <c r="A20" i="9"/>
  <c r="F26" i="9"/>
  <c r="F31" i="9"/>
  <c r="C29" i="9"/>
  <c r="A52" i="9"/>
  <c r="F5" i="9"/>
  <c r="C27" i="9"/>
  <c r="D48" i="9"/>
  <c r="A16" i="9"/>
  <c r="A21" i="9"/>
  <c r="F27" i="9"/>
  <c r="C51" i="9"/>
  <c r="D51" i="9"/>
  <c r="D32" i="9"/>
  <c r="F25" i="9"/>
  <c r="A19" i="9"/>
  <c r="A29" i="9"/>
  <c r="F52" i="9"/>
  <c r="D52" i="9"/>
  <c r="D18" i="9"/>
  <c r="C18" i="9"/>
  <c r="F56" i="9"/>
  <c r="A53" i="9"/>
  <c r="D16" i="9"/>
  <c r="F30" i="9"/>
  <c r="D7" i="9"/>
  <c r="F22" i="9"/>
  <c r="F10" i="9"/>
  <c r="F33" i="9"/>
  <c r="F29" i="9"/>
  <c r="D53" i="9"/>
  <c r="A40" i="9"/>
  <c r="F14" i="10"/>
  <c r="D33" i="9"/>
  <c r="F29" i="10"/>
  <c r="F6" i="10"/>
  <c r="F18" i="10"/>
  <c r="D10" i="10"/>
  <c r="C30" i="9"/>
  <c r="D27" i="10"/>
  <c r="F13" i="10"/>
  <c r="C40" i="10"/>
  <c r="A27" i="10"/>
  <c r="F38" i="10"/>
  <c r="F16" i="9"/>
  <c r="D30" i="10"/>
  <c r="F23" i="10"/>
  <c r="A8" i="10"/>
  <c r="C41" i="10"/>
  <c r="A54" i="9"/>
  <c r="F40" i="10"/>
  <c r="D34" i="10"/>
  <c r="F54" i="9"/>
  <c r="C33" i="10"/>
  <c r="A17" i="9"/>
  <c r="F21" i="10"/>
  <c r="C56" i="9"/>
  <c r="A146" i="37"/>
  <c r="D247" i="37"/>
  <c r="C201" i="37"/>
  <c r="C271" i="37"/>
  <c r="C99" i="37"/>
  <c r="C67" i="37"/>
  <c r="A320" i="37"/>
  <c r="A133" i="37"/>
  <c r="A235" i="37"/>
  <c r="A127" i="37"/>
  <c r="A16" i="37"/>
  <c r="A28" i="37"/>
  <c r="D102" i="37"/>
  <c r="C203" i="37"/>
  <c r="C266" i="37"/>
  <c r="C89" i="37"/>
  <c r="C41" i="37"/>
  <c r="A229" i="37"/>
  <c r="A289" i="37"/>
  <c r="A183" i="37"/>
  <c r="A82" i="37"/>
  <c r="A81" i="37"/>
  <c r="A129" i="37"/>
  <c r="C285" i="37"/>
  <c r="C100" i="37"/>
  <c r="C172" i="37"/>
  <c r="C29" i="37"/>
  <c r="A314" i="37"/>
  <c r="A175" i="37"/>
  <c r="A228" i="37"/>
  <c r="A107" i="37"/>
  <c r="A102" i="37"/>
  <c r="D301" i="37"/>
  <c r="C283" i="37"/>
  <c r="C96" i="37"/>
  <c r="C156" i="37"/>
  <c r="C25" i="37"/>
  <c r="A316" i="37"/>
  <c r="A141" i="37"/>
  <c r="A215" i="37"/>
  <c r="A109" i="37"/>
  <c r="A106" i="37"/>
  <c r="C92" i="37"/>
  <c r="A74" i="37"/>
  <c r="A287" i="37"/>
  <c r="A68" i="37"/>
  <c r="D294" i="37"/>
  <c r="C277" i="37"/>
  <c r="C144" i="37"/>
  <c r="C23" i="37"/>
  <c r="A318" i="37"/>
  <c r="A143" i="37"/>
  <c r="A223" i="37"/>
  <c r="A94" i="37"/>
  <c r="D272" i="37"/>
  <c r="C274" i="37"/>
  <c r="C90" i="37"/>
  <c r="C140" i="37"/>
  <c r="C18" i="37"/>
  <c r="A277" i="37"/>
  <c r="A285" i="37"/>
  <c r="A199" i="37"/>
  <c r="A73" i="37"/>
  <c r="A76" i="37"/>
  <c r="D315" i="37"/>
  <c r="C88" i="37"/>
  <c r="C138" i="37"/>
  <c r="A234" i="37"/>
  <c r="A75" i="37"/>
  <c r="C272" i="37"/>
  <c r="C12" i="37"/>
  <c r="A185" i="37"/>
  <c r="D25" i="10"/>
  <c r="D37" i="10"/>
  <c r="A28" i="9"/>
  <c r="A10" i="10"/>
  <c r="C48" i="10"/>
  <c r="D38" i="9"/>
  <c r="D15" i="9"/>
  <c r="D49" i="10"/>
  <c r="A46" i="10"/>
  <c r="C34" i="10"/>
  <c r="A18" i="10"/>
  <c r="A37" i="10"/>
  <c r="C11" i="10"/>
  <c r="D35" i="9"/>
  <c r="F26" i="10"/>
  <c r="F37" i="9"/>
  <c r="D27" i="9"/>
  <c r="A12" i="37"/>
  <c r="A152" i="37"/>
  <c r="A169" i="37"/>
  <c r="A296" i="37"/>
  <c r="C81" i="37"/>
  <c r="C106" i="37"/>
  <c r="D236" i="37"/>
  <c r="C32" i="34"/>
  <c r="C22" i="34"/>
  <c r="C16" i="34"/>
  <c r="A31" i="34"/>
  <c r="A5" i="34"/>
  <c r="A29" i="34"/>
  <c r="A32" i="34"/>
  <c r="A27" i="34"/>
  <c r="C9" i="34"/>
  <c r="B162" i="48"/>
  <c r="B132" i="48"/>
  <c r="B148" i="48"/>
  <c r="B169" i="48"/>
  <c r="B80" i="48"/>
  <c r="B19" i="48"/>
  <c r="B45" i="48"/>
  <c r="B126" i="48"/>
  <c r="B133" i="48"/>
  <c r="B28" i="48"/>
  <c r="B37" i="48"/>
  <c r="B38" i="48"/>
  <c r="C491" i="36"/>
  <c r="B104" i="36"/>
  <c r="A478" i="36"/>
  <c r="A457" i="36"/>
  <c r="D433" i="36"/>
  <c r="C413" i="36"/>
  <c r="C386" i="36"/>
  <c r="A460" i="36"/>
  <c r="D435" i="36"/>
  <c r="A415" i="36"/>
  <c r="C393" i="36"/>
  <c r="A364" i="36"/>
  <c r="C340" i="36"/>
  <c r="C313" i="36"/>
  <c r="C291" i="36"/>
  <c r="A367" i="36"/>
  <c r="A344" i="36"/>
  <c r="D316" i="36"/>
  <c r="A294" i="36"/>
  <c r="B35" i="36"/>
  <c r="B117" i="36"/>
  <c r="A169" i="36"/>
  <c r="C190" i="36"/>
  <c r="C215" i="36"/>
  <c r="C235" i="36"/>
  <c r="C259" i="36"/>
  <c r="B24" i="36"/>
  <c r="B88" i="36"/>
  <c r="C165" i="36"/>
  <c r="A187" i="36"/>
  <c r="A209" i="36"/>
  <c r="A232" i="36"/>
  <c r="A256" i="36"/>
  <c r="C281" i="36"/>
  <c r="D487" i="36"/>
  <c r="C488" i="36"/>
  <c r="D397" i="36"/>
  <c r="C474" i="36"/>
  <c r="B108" i="36"/>
  <c r="A471" i="36"/>
  <c r="C447" i="36"/>
  <c r="C424" i="36"/>
  <c r="A403" i="36"/>
  <c r="C469" i="36"/>
  <c r="A446" i="36"/>
  <c r="C423" i="36"/>
  <c r="A400" i="36"/>
  <c r="C370" i="36"/>
  <c r="C345" i="36"/>
  <c r="A317" i="36"/>
  <c r="C293" i="36"/>
  <c r="A368" i="36"/>
  <c r="A342" i="36"/>
  <c r="A314" i="36"/>
  <c r="A291" i="36"/>
  <c r="B47" i="36"/>
  <c r="B131" i="36"/>
  <c r="D174" i="36"/>
  <c r="D199" i="36"/>
  <c r="C223" i="36"/>
  <c r="A248" i="36"/>
  <c r="A270" i="36"/>
  <c r="B60" i="36"/>
  <c r="B143" i="36"/>
  <c r="A179" i="36"/>
  <c r="A203" i="36"/>
  <c r="A227" i="36"/>
  <c r="C251" i="36"/>
  <c r="C273" i="36"/>
  <c r="C489" i="36"/>
  <c r="A488" i="36"/>
  <c r="A13" i="31"/>
  <c r="B105" i="48"/>
  <c r="B118" i="48"/>
  <c r="B127" i="48"/>
  <c r="D6" i="49"/>
  <c r="A7" i="49"/>
  <c r="A10" i="49"/>
  <c r="A11" i="49"/>
  <c r="A12" i="49"/>
  <c r="D9" i="49"/>
  <c r="D14" i="49"/>
  <c r="A17" i="49"/>
  <c r="D18" i="49"/>
  <c r="D19" i="49"/>
  <c r="A21" i="49"/>
  <c r="D21" i="49"/>
  <c r="D24" i="49"/>
  <c r="A6" i="49"/>
  <c r="E72" i="44"/>
  <c r="E438" i="44"/>
  <c r="E432" i="44"/>
  <c r="E287" i="44"/>
  <c r="E144" i="44"/>
  <c r="E84" i="44"/>
  <c r="C346" i="44"/>
  <c r="C223" i="44"/>
  <c r="C234" i="44"/>
  <c r="C157" i="44"/>
  <c r="C117" i="44"/>
  <c r="C64" i="44"/>
  <c r="C16" i="44"/>
  <c r="E409" i="44"/>
  <c r="E268" i="44"/>
  <c r="E118" i="44"/>
  <c r="C439" i="44"/>
  <c r="C333" i="44"/>
  <c r="C220" i="44"/>
  <c r="C204" i="44"/>
  <c r="C154" i="44"/>
  <c r="C113" i="44"/>
  <c r="C49" i="44"/>
  <c r="C86" i="44"/>
  <c r="A25" i="49"/>
  <c r="C82" i="44"/>
  <c r="C63" i="44"/>
  <c r="C120" i="44"/>
  <c r="C181" i="44"/>
  <c r="C251" i="44"/>
  <c r="C309" i="44"/>
  <c r="C409" i="44"/>
  <c r="E95" i="44"/>
  <c r="E269" i="44"/>
  <c r="E410" i="44"/>
  <c r="A24" i="49"/>
  <c r="A22" i="49"/>
  <c r="C41" i="8"/>
  <c r="C349" i="44"/>
  <c r="C389" i="44"/>
  <c r="C440" i="44"/>
  <c r="E12" i="44"/>
  <c r="E63" i="44"/>
  <c r="E121" i="44"/>
  <c r="E165" i="44"/>
  <c r="E228" i="44"/>
  <c r="E275" i="44"/>
  <c r="E312" i="44"/>
  <c r="E365" i="44"/>
  <c r="E416" i="44"/>
  <c r="E278" i="44"/>
  <c r="C386" i="44"/>
  <c r="D25" i="19"/>
  <c r="A15" i="19"/>
  <c r="A7" i="18"/>
  <c r="B4" i="18"/>
  <c r="A39" i="18"/>
  <c r="A45" i="18"/>
  <c r="A43" i="37"/>
  <c r="A14" i="37"/>
  <c r="A103" i="37"/>
  <c r="A181" i="37"/>
  <c r="A301" i="37"/>
  <c r="A184" i="37"/>
  <c r="A310" i="37"/>
  <c r="C71" i="37"/>
  <c r="C85" i="37"/>
  <c r="C227" i="37"/>
  <c r="C98" i="37"/>
  <c r="C258" i="37"/>
  <c r="D253" i="37"/>
  <c r="A225" i="37"/>
  <c r="C6" i="44"/>
  <c r="C20" i="44"/>
  <c r="C41" i="44"/>
  <c r="C65" i="44"/>
  <c r="C91" i="44"/>
  <c r="C109" i="44"/>
  <c r="C136" i="44"/>
  <c r="C156" i="44"/>
  <c r="C182" i="44"/>
  <c r="C203" i="44"/>
  <c r="C236" i="44"/>
  <c r="C259" i="44"/>
  <c r="C218" i="44"/>
  <c r="C295" i="44"/>
  <c r="C319" i="44"/>
  <c r="C350" i="44"/>
  <c r="C399" i="44"/>
  <c r="C436" i="44"/>
  <c r="E15" i="44"/>
  <c r="E65" i="44"/>
  <c r="E122" i="44"/>
  <c r="E168" i="44"/>
  <c r="E230" i="44"/>
  <c r="E276" i="44"/>
  <c r="E315" i="44"/>
  <c r="E373" i="44"/>
  <c r="E418" i="44"/>
  <c r="E429" i="44"/>
  <c r="B147" i="48"/>
  <c r="B135" i="48"/>
  <c r="C10" i="18"/>
  <c r="A28" i="18"/>
  <c r="C10" i="44"/>
  <c r="C23" i="44"/>
  <c r="C45" i="44"/>
  <c r="C68" i="44"/>
  <c r="C99" i="44"/>
  <c r="C118" i="44"/>
  <c r="C135" i="44"/>
  <c r="C162" i="44"/>
  <c r="C178" i="44"/>
  <c r="C201" i="44"/>
  <c r="C241" i="44"/>
  <c r="C261" i="44"/>
  <c r="C216" i="44"/>
  <c r="C300" i="44"/>
  <c r="C322" i="44"/>
  <c r="C351" i="44"/>
  <c r="C395" i="44"/>
  <c r="C452" i="44"/>
  <c r="E20" i="44"/>
  <c r="E71" i="44"/>
  <c r="E127" i="44"/>
  <c r="E173" i="44"/>
  <c r="E235" i="44"/>
  <c r="E217" i="44"/>
  <c r="E314" i="44"/>
  <c r="E371" i="44"/>
  <c r="E426" i="44"/>
  <c r="E360" i="44"/>
  <c r="C200" i="44"/>
  <c r="E280" i="44"/>
  <c r="B7" i="48"/>
  <c r="B157" i="48"/>
  <c r="A4" i="18"/>
  <c r="B11" i="18"/>
  <c r="A49" i="18"/>
  <c r="C4" i="18"/>
  <c r="A12" i="18"/>
  <c r="A15" i="18"/>
  <c r="C29" i="18"/>
  <c r="C87" i="44"/>
  <c r="C22" i="44"/>
  <c r="C44" i="44"/>
  <c r="C66" i="44"/>
  <c r="C98" i="44"/>
  <c r="C116" i="44"/>
  <c r="C140" i="44"/>
  <c r="C158" i="44"/>
  <c r="C176" i="44"/>
  <c r="C199" i="44"/>
  <c r="C240" i="44"/>
  <c r="C263" i="44"/>
  <c r="C222" i="44"/>
  <c r="C301" i="44"/>
  <c r="C321" i="44"/>
  <c r="C354" i="44"/>
  <c r="C396" i="44"/>
  <c r="C446" i="44"/>
  <c r="E23" i="44"/>
  <c r="E74" i="44"/>
  <c r="E128" i="44"/>
  <c r="E177" i="44"/>
  <c r="E232" i="44"/>
  <c r="E214" i="44"/>
  <c r="E320" i="44"/>
  <c r="E377" i="44"/>
  <c r="E427" i="44"/>
  <c r="B8" i="48"/>
  <c r="B158" i="48"/>
  <c r="C85" i="44"/>
  <c r="C24" i="44"/>
  <c r="C42" i="44"/>
  <c r="C69" i="44"/>
  <c r="C97" i="44"/>
  <c r="C121" i="44"/>
  <c r="C141" i="44"/>
  <c r="C159" i="44"/>
  <c r="C184" i="44"/>
  <c r="C206" i="44"/>
  <c r="C238" i="44"/>
  <c r="C265" i="44"/>
  <c r="C224" i="44"/>
  <c r="C303" i="44"/>
  <c r="C335" i="44"/>
  <c r="C356" i="44"/>
  <c r="C404" i="44"/>
  <c r="C454" i="44"/>
  <c r="E27" i="44"/>
  <c r="E78" i="44"/>
  <c r="E134" i="44"/>
  <c r="E179" i="44"/>
  <c r="E242" i="44"/>
  <c r="E225" i="44"/>
  <c r="E321" i="44"/>
  <c r="E381" i="44"/>
  <c r="E435" i="44"/>
  <c r="C33" i="18"/>
  <c r="B7" i="18"/>
  <c r="A26" i="18"/>
  <c r="B27" i="18"/>
  <c r="A38" i="18"/>
  <c r="B34" i="18"/>
  <c r="C84" i="44"/>
  <c r="C26" i="44"/>
  <c r="C46" i="44"/>
  <c r="C70" i="44"/>
  <c r="C101" i="44"/>
  <c r="C123" i="44"/>
  <c r="C142" i="44"/>
  <c r="C163" i="44"/>
  <c r="C180" i="44"/>
  <c r="C207" i="44"/>
  <c r="C243" i="44"/>
  <c r="C260" i="44"/>
  <c r="C225" i="44"/>
  <c r="C299" i="44"/>
  <c r="C334" i="44"/>
  <c r="C357" i="44"/>
  <c r="C398" i="44"/>
  <c r="C458" i="44"/>
  <c r="E30" i="44"/>
  <c r="E88" i="44"/>
  <c r="E137" i="44"/>
  <c r="E180" i="44"/>
  <c r="E243" i="44"/>
  <c r="E281" i="44"/>
  <c r="E338" i="44"/>
  <c r="E383" i="44"/>
  <c r="E437" i="44"/>
  <c r="C195" i="44"/>
  <c r="A18" i="18"/>
  <c r="C183" i="44"/>
  <c r="C211" i="44"/>
  <c r="C245" i="44"/>
  <c r="C268" i="44"/>
  <c r="C221" i="44"/>
  <c r="C304" i="44"/>
  <c r="C332" i="44"/>
  <c r="C358" i="44"/>
  <c r="C392" i="44"/>
  <c r="C328" i="44"/>
  <c r="E34" i="44"/>
  <c r="E89" i="44"/>
  <c r="E140" i="44"/>
  <c r="E185" i="44"/>
  <c r="E244" i="44"/>
  <c r="E283" i="44"/>
  <c r="E339" i="44"/>
  <c r="E389" i="44"/>
  <c r="E441" i="44"/>
  <c r="E379" i="44"/>
  <c r="C8" i="18"/>
  <c r="A10" i="18"/>
  <c r="A11" i="18"/>
  <c r="A55" i="19"/>
  <c r="D56" i="19"/>
  <c r="A43" i="19"/>
  <c r="A14" i="19"/>
  <c r="C20" i="18"/>
  <c r="C46" i="18"/>
  <c r="A42" i="18"/>
  <c r="C9" i="9"/>
  <c r="D17" i="9"/>
  <c r="A83" i="37"/>
  <c r="A59" i="37"/>
  <c r="A174" i="37"/>
  <c r="A245" i="37"/>
  <c r="A135" i="37"/>
  <c r="A227" i="37"/>
  <c r="C13" i="37"/>
  <c r="C40" i="37"/>
  <c r="C142" i="37"/>
  <c r="C273" i="37"/>
  <c r="C158" i="37"/>
  <c r="C289" i="37"/>
  <c r="D298" i="37"/>
  <c r="C81" i="44"/>
  <c r="C31" i="44"/>
  <c r="C50" i="44"/>
  <c r="C73" i="44"/>
  <c r="C104" i="44"/>
  <c r="C124" i="44"/>
  <c r="C146" i="44"/>
  <c r="C166" i="44"/>
  <c r="C185" i="44"/>
  <c r="C209" i="44"/>
  <c r="C246" i="44"/>
  <c r="C267" i="44"/>
  <c r="C282" i="44"/>
  <c r="C310" i="44"/>
  <c r="C337" i="44"/>
  <c r="C363" i="44"/>
  <c r="C413" i="44"/>
  <c r="C325" i="44"/>
  <c r="E37" i="44"/>
  <c r="E98" i="44"/>
  <c r="E146" i="44"/>
  <c r="E189" i="44"/>
  <c r="E247" i="44"/>
  <c r="E286" i="44"/>
  <c r="E342" i="44"/>
  <c r="E401" i="44"/>
  <c r="E455" i="44"/>
  <c r="B58" i="48"/>
  <c r="B6" i="18"/>
  <c r="B28" i="18"/>
  <c r="B67" i="48"/>
  <c r="B42" i="48"/>
  <c r="C21" i="18"/>
  <c r="A47" i="18"/>
  <c r="A24" i="18"/>
  <c r="B12" i="18"/>
  <c r="A27" i="9"/>
  <c r="A59" i="19"/>
  <c r="D24" i="19"/>
  <c r="A65" i="19"/>
  <c r="A4" i="19"/>
  <c r="A30" i="18"/>
  <c r="A48" i="18"/>
  <c r="A51" i="9"/>
  <c r="A30" i="9"/>
  <c r="F32" i="9"/>
  <c r="F15" i="9"/>
  <c r="A108" i="37"/>
  <c r="A67" i="37"/>
  <c r="A162" i="37"/>
  <c r="A257" i="37"/>
  <c r="A131" i="37"/>
  <c r="A236" i="37"/>
  <c r="C17" i="37"/>
  <c r="C44" i="37"/>
  <c r="C153" i="37"/>
  <c r="C308" i="37"/>
  <c r="C180" i="37"/>
  <c r="C321" i="37"/>
  <c r="D265" i="37"/>
  <c r="C11" i="44"/>
  <c r="C32" i="44"/>
  <c r="C51" i="44"/>
  <c r="C75" i="44"/>
  <c r="C105" i="44"/>
  <c r="C131" i="44"/>
  <c r="C144" i="44"/>
  <c r="C167" i="44"/>
  <c r="C189" i="44"/>
  <c r="C208" i="44"/>
  <c r="C249" i="44"/>
  <c r="C270" i="44"/>
  <c r="C284" i="44"/>
  <c r="C308" i="44"/>
  <c r="C345" i="44"/>
  <c r="C367" i="44"/>
  <c r="C417" i="44"/>
  <c r="C278" i="44"/>
  <c r="E43" i="44"/>
  <c r="E101" i="44"/>
  <c r="E148" i="44"/>
  <c r="E197" i="44"/>
  <c r="E258" i="44"/>
  <c r="E291" i="44"/>
  <c r="E348" i="44"/>
  <c r="E396" i="44"/>
  <c r="E453" i="44"/>
  <c r="E443" i="44"/>
  <c r="C414" i="44"/>
  <c r="E376" i="44"/>
  <c r="B6" i="48"/>
  <c r="B68" i="48"/>
  <c r="B49" i="48"/>
  <c r="F18" i="32"/>
  <c r="C30" i="18"/>
  <c r="C12" i="44"/>
  <c r="C33" i="44"/>
  <c r="C55" i="44"/>
  <c r="C77" i="44"/>
  <c r="C106" i="44"/>
  <c r="C126" i="44"/>
  <c r="C148" i="44"/>
  <c r="C169" i="44"/>
  <c r="C190" i="44"/>
  <c r="C228" i="44"/>
  <c r="C250" i="44"/>
  <c r="C271" i="44"/>
  <c r="C285" i="44"/>
  <c r="C306" i="44"/>
  <c r="C342" i="44"/>
  <c r="C373" i="44"/>
  <c r="C420" i="44"/>
  <c r="E4" i="44"/>
  <c r="E44" i="44"/>
  <c r="E104" i="44"/>
  <c r="E150" i="44"/>
  <c r="E196" i="44"/>
  <c r="E257" i="44"/>
  <c r="E295" i="44"/>
  <c r="E346" i="44"/>
  <c r="E405" i="44"/>
  <c r="E449" i="44"/>
  <c r="C53" i="44"/>
  <c r="B20" i="48"/>
  <c r="B75" i="48"/>
  <c r="B65" i="48"/>
  <c r="A29" i="18"/>
  <c r="A6" i="18"/>
  <c r="A27" i="18"/>
  <c r="A17" i="18"/>
  <c r="C48" i="18"/>
  <c r="C17" i="18"/>
  <c r="A44" i="19"/>
  <c r="A18" i="19"/>
  <c r="B31" i="18"/>
  <c r="B49" i="18"/>
  <c r="A262" i="37"/>
  <c r="C28" i="37"/>
  <c r="C60" i="37"/>
  <c r="C167" i="37"/>
  <c r="C319" i="37"/>
  <c r="C192" i="37"/>
  <c r="D164" i="37"/>
  <c r="D274" i="37"/>
  <c r="D5" i="7"/>
  <c r="C14" i="44"/>
  <c r="C34" i="44"/>
  <c r="C56" i="44"/>
  <c r="C78" i="44"/>
  <c r="C103" i="44"/>
  <c r="C127" i="44"/>
  <c r="C149" i="44"/>
  <c r="C168" i="44"/>
  <c r="C191" i="44"/>
  <c r="C229" i="44"/>
  <c r="C252" i="44"/>
  <c r="C274" i="44"/>
  <c r="C286" i="44"/>
  <c r="C305" i="44"/>
  <c r="C340" i="44"/>
  <c r="C372" i="44"/>
  <c r="C422" i="44"/>
  <c r="E9" i="44"/>
  <c r="E47" i="44"/>
  <c r="E105" i="44"/>
  <c r="E152" i="44"/>
  <c r="E203" i="44"/>
  <c r="E259" i="44"/>
  <c r="E298" i="44"/>
  <c r="E351" i="44"/>
  <c r="E400" i="44"/>
  <c r="E456" i="44"/>
  <c r="C443" i="44"/>
  <c r="E100" i="44"/>
  <c r="B43" i="48"/>
  <c r="B89" i="48"/>
  <c r="B86" i="48"/>
  <c r="C26" i="18"/>
  <c r="A44" i="18"/>
  <c r="B47" i="18"/>
  <c r="A32" i="18"/>
  <c r="C13" i="44"/>
  <c r="C36" i="44"/>
  <c r="C57" i="44"/>
  <c r="C76" i="44"/>
  <c r="C112" i="44"/>
  <c r="C130" i="44"/>
  <c r="C150" i="44"/>
  <c r="C170" i="44"/>
  <c r="C192" i="44"/>
  <c r="C230" i="44"/>
  <c r="C254" i="44"/>
  <c r="C276" i="44"/>
  <c r="C289" i="44"/>
  <c r="C312" i="44"/>
  <c r="C341" i="44"/>
  <c r="C371" i="44"/>
  <c r="C419" i="44"/>
  <c r="E87" i="44"/>
  <c r="E50" i="44"/>
  <c r="E106" i="44"/>
  <c r="E155" i="44"/>
  <c r="E199" i="44"/>
  <c r="E261" i="44"/>
  <c r="E300" i="44"/>
  <c r="E353" i="44"/>
  <c r="E398" i="44"/>
  <c r="E450" i="44"/>
  <c r="B57" i="48"/>
  <c r="B98" i="48"/>
  <c r="B102" i="48"/>
  <c r="A8" i="18"/>
  <c r="A40" i="18"/>
  <c r="C11" i="18"/>
  <c r="A19" i="18"/>
  <c r="C19" i="18"/>
  <c r="C32" i="18"/>
  <c r="C17" i="44"/>
  <c r="C35" i="44"/>
  <c r="C60" i="44"/>
  <c r="C88" i="44"/>
  <c r="C111" i="44"/>
  <c r="C128" i="44"/>
  <c r="C153" i="44"/>
  <c r="C171" i="44"/>
  <c r="C193" i="44"/>
  <c r="C226" i="44"/>
  <c r="C253" i="44"/>
  <c r="C273" i="44"/>
  <c r="C291" i="44"/>
  <c r="C317" i="44"/>
  <c r="C344" i="44"/>
  <c r="C375" i="44"/>
  <c r="C427" i="44"/>
  <c r="E86" i="44"/>
  <c r="E51" i="44"/>
  <c r="E114" i="44"/>
  <c r="E156" i="44"/>
  <c r="E205" i="44"/>
  <c r="E265" i="44"/>
  <c r="E302" i="44"/>
  <c r="E355" i="44"/>
  <c r="E408" i="44"/>
  <c r="E328" i="44"/>
  <c r="C411" i="44"/>
  <c r="C100" i="44"/>
  <c r="B66" i="48"/>
  <c r="B97" i="48"/>
  <c r="B109" i="48"/>
  <c r="D25" i="49"/>
  <c r="B54" i="25"/>
  <c r="A59" i="25"/>
  <c r="A43" i="25"/>
  <c r="A50" i="25"/>
  <c r="C53" i="25"/>
  <c r="A63" i="25"/>
  <c r="A25" i="25"/>
  <c r="B19" i="25"/>
  <c r="A27" i="25"/>
  <c r="B53" i="25"/>
  <c r="A54" i="25"/>
  <c r="C54" i="25"/>
  <c r="A65" i="25"/>
  <c r="A45" i="25"/>
  <c r="B73" i="25"/>
  <c r="A29" i="25"/>
  <c r="B17" i="25"/>
  <c r="C74" i="25"/>
  <c r="B26" i="25"/>
  <c r="A5" i="25"/>
  <c r="C27" i="25"/>
  <c r="B23" i="25"/>
  <c r="B55" i="25"/>
  <c r="B75" i="25"/>
  <c r="A55" i="25"/>
  <c r="B28" i="25"/>
  <c r="C24" i="25"/>
  <c r="C61" i="25"/>
  <c r="C26" i="25"/>
  <c r="B60" i="25"/>
  <c r="B27" i="25"/>
  <c r="A9" i="25"/>
  <c r="C29" i="25"/>
  <c r="A28" i="25"/>
  <c r="B61" i="25"/>
  <c r="B65" i="25"/>
  <c r="C32" i="25"/>
  <c r="B10" i="25"/>
  <c r="B30" i="25"/>
  <c r="B29" i="25"/>
  <c r="A62" i="25"/>
  <c r="C66" i="25"/>
  <c r="A40" i="25"/>
  <c r="A31" i="25"/>
  <c r="C30" i="25"/>
  <c r="C62" i="25"/>
  <c r="C68" i="25"/>
  <c r="C50" i="25"/>
  <c r="A70" i="25"/>
  <c r="A64" i="25"/>
  <c r="C31" i="25"/>
  <c r="C65" i="25"/>
  <c r="C36" i="25"/>
  <c r="A13" i="25"/>
  <c r="A32" i="25"/>
  <c r="A57" i="25"/>
  <c r="A15" i="25"/>
  <c r="B32" i="25"/>
  <c r="B33" i="25"/>
  <c r="B71" i="25"/>
  <c r="A68" i="25"/>
  <c r="A17" i="25"/>
  <c r="A33" i="25"/>
  <c r="A36" i="25"/>
  <c r="B66" i="25"/>
  <c r="A6" i="25"/>
  <c r="A73" i="25"/>
  <c r="A7" i="25"/>
  <c r="C17" i="25"/>
  <c r="C33" i="25"/>
  <c r="A38" i="25"/>
  <c r="A67" i="25"/>
  <c r="A12" i="25"/>
  <c r="B74" i="25"/>
  <c r="A47" i="25"/>
  <c r="A35" i="25"/>
  <c r="A18" i="25"/>
  <c r="C75" i="25"/>
  <c r="C70" i="25"/>
  <c r="A69" i="25"/>
  <c r="C22" i="25"/>
  <c r="A16" i="25"/>
  <c r="A19" i="25"/>
  <c r="B68" i="25"/>
  <c r="B36" i="25"/>
  <c r="C69" i="25"/>
  <c r="A26" i="25"/>
  <c r="A30" i="25"/>
  <c r="C28" i="25"/>
  <c r="C55" i="25"/>
  <c r="C60" i="25"/>
  <c r="A2" i="25"/>
  <c r="C19" i="25"/>
  <c r="A21" i="25"/>
  <c r="A49" i="25"/>
  <c r="B5" i="25"/>
  <c r="A39" i="25"/>
  <c r="A8" i="25"/>
  <c r="B50" i="25"/>
  <c r="A71" i="25"/>
  <c r="B31" i="25"/>
  <c r="A66" i="25"/>
  <c r="A11" i="25"/>
  <c r="B39" i="25"/>
  <c r="A37" i="25"/>
  <c r="B22" i="25"/>
  <c r="B38" i="25"/>
  <c r="B70" i="25"/>
  <c r="C39" i="25"/>
  <c r="C71" i="25"/>
  <c r="A34" i="25"/>
  <c r="A72" i="25"/>
  <c r="A60" i="25"/>
  <c r="A42" i="25"/>
  <c r="A4" i="25"/>
  <c r="C49" i="25"/>
  <c r="C23" i="25"/>
  <c r="C10" i="25"/>
  <c r="A51" i="25"/>
  <c r="B24" i="25"/>
  <c r="A41" i="25"/>
  <c r="A14" i="25"/>
  <c r="B52" i="25"/>
  <c r="B72" i="25"/>
  <c r="C38" i="25"/>
  <c r="A61" i="25"/>
  <c r="A53" i="25"/>
  <c r="A75" i="25"/>
  <c r="A52" i="25"/>
  <c r="B62" i="25"/>
  <c r="C4" i="25"/>
  <c r="B59" i="25"/>
  <c r="C73" i="25"/>
  <c r="A24" i="25"/>
  <c r="B69" i="25"/>
  <c r="B49" i="25"/>
  <c r="B4" i="25"/>
  <c r="A10" i="25"/>
  <c r="A20" i="25"/>
  <c r="D26" i="32"/>
  <c r="C22" i="32"/>
  <c r="A26" i="32"/>
  <c r="A9" i="31"/>
  <c r="A15" i="31"/>
  <c r="A24" i="37"/>
  <c r="A114" i="37"/>
  <c r="A50" i="37"/>
  <c r="A113" i="37"/>
  <c r="A172" i="37"/>
  <c r="A221" i="37"/>
  <c r="A313" i="37"/>
  <c r="A139" i="37"/>
  <c r="A180" i="37"/>
  <c r="A275" i="37"/>
  <c r="C7" i="37"/>
  <c r="C75" i="37"/>
  <c r="C62" i="37"/>
  <c r="C134" i="37"/>
  <c r="C216" i="37"/>
  <c r="C312" i="37"/>
  <c r="C143" i="37"/>
  <c r="C228" i="37"/>
  <c r="D94" i="37"/>
  <c r="D254" i="37"/>
  <c r="A213" i="37"/>
  <c r="C28" i="32"/>
  <c r="F11" i="32"/>
  <c r="A22" i="32"/>
  <c r="D41" i="18"/>
  <c r="A41" i="18"/>
  <c r="B46" i="18"/>
  <c r="B32" i="18"/>
  <c r="C12" i="18"/>
  <c r="A22" i="18"/>
  <c r="A13" i="18"/>
  <c r="B30" i="18"/>
  <c r="B17" i="18"/>
  <c r="B26" i="18"/>
  <c r="C15" i="18"/>
  <c r="B10" i="18"/>
  <c r="A2" i="18"/>
  <c r="A22" i="37"/>
  <c r="A110" i="37"/>
  <c r="A48" i="37"/>
  <c r="A111" i="37"/>
  <c r="A170" i="37"/>
  <c r="A217" i="37"/>
  <c r="A311" i="37"/>
  <c r="A137" i="37"/>
  <c r="A208" i="37"/>
  <c r="A271" i="37"/>
  <c r="C9" i="37"/>
  <c r="C10" i="37"/>
  <c r="C66" i="37"/>
  <c r="C136" i="37"/>
  <c r="C222" i="37"/>
  <c r="C317" i="37"/>
  <c r="C148" i="37"/>
  <c r="C244" i="37"/>
  <c r="A156" i="37"/>
  <c r="D256" i="37"/>
  <c r="A269" i="37"/>
  <c r="C17" i="32"/>
  <c r="F7" i="32"/>
  <c r="A11" i="32"/>
  <c r="A42" i="19"/>
  <c r="B25" i="19"/>
  <c r="A6" i="19"/>
  <c r="A33" i="19"/>
  <c r="D19" i="19"/>
  <c r="A53" i="19"/>
  <c r="B23" i="19"/>
  <c r="A56" i="19"/>
  <c r="A54" i="19"/>
  <c r="B62" i="19"/>
  <c r="D28" i="32"/>
  <c r="A20" i="32"/>
  <c r="A27" i="32"/>
  <c r="A241" i="37"/>
  <c r="D276" i="37"/>
  <c r="D234" i="37"/>
  <c r="D127" i="37"/>
  <c r="C267" i="37"/>
  <c r="C199" i="37"/>
  <c r="C133" i="37"/>
  <c r="C315" i="37"/>
  <c r="C254" i="37"/>
  <c r="C186" i="37"/>
  <c r="C113" i="37"/>
  <c r="C64" i="37"/>
  <c r="C27" i="37"/>
  <c r="C43" i="37"/>
  <c r="A284" i="37"/>
  <c r="A273" i="37"/>
  <c r="A220" i="37"/>
  <c r="A155" i="37"/>
  <c r="A122" i="37"/>
  <c r="A315" i="37"/>
  <c r="A239" i="37"/>
  <c r="A191" i="37"/>
  <c r="A144" i="37"/>
  <c r="A88" i="37"/>
  <c r="A52" i="37"/>
  <c r="A104" i="37"/>
  <c r="A56" i="37"/>
  <c r="A9" i="37"/>
  <c r="A116" i="37"/>
  <c r="D263" i="37"/>
  <c r="D157" i="37"/>
  <c r="C316" i="37"/>
  <c r="C255" i="37"/>
  <c r="C187" i="37"/>
  <c r="C114" i="37"/>
  <c r="C306" i="37"/>
  <c r="C236" i="37"/>
  <c r="C165" i="37"/>
  <c r="C103" i="37"/>
  <c r="C73" i="37"/>
  <c r="C16" i="37"/>
  <c r="C32" i="37"/>
  <c r="A292" i="37"/>
  <c r="A264" i="37"/>
  <c r="A202" i="37"/>
  <c r="A163" i="37"/>
  <c r="A283" i="37"/>
  <c r="A272" i="37"/>
  <c r="A219" i="37"/>
  <c r="A154" i="37"/>
  <c r="A125" i="37"/>
  <c r="A71" i="37"/>
  <c r="A29" i="37"/>
  <c r="A112" i="37"/>
  <c r="A41" i="37"/>
  <c r="A54" i="37"/>
  <c r="D22" i="37"/>
  <c r="D144" i="37"/>
  <c r="C313" i="37"/>
  <c r="C253" i="37"/>
  <c r="C185" i="37"/>
  <c r="C112" i="37"/>
  <c r="C304" i="37"/>
  <c r="C233" i="37"/>
  <c r="C159" i="37"/>
  <c r="C101" i="37"/>
  <c r="C69" i="37"/>
  <c r="C14" i="37"/>
  <c r="C30" i="37"/>
  <c r="A294" i="37"/>
  <c r="A266" i="37"/>
  <c r="A204" i="37"/>
  <c r="A165" i="37"/>
  <c r="A250" i="37"/>
  <c r="D277" i="37"/>
  <c r="D258" i="37"/>
  <c r="C307" i="37"/>
  <c r="C237" i="37"/>
  <c r="C166" i="37"/>
  <c r="C104" i="37"/>
  <c r="C293" i="37"/>
  <c r="C220" i="37"/>
  <c r="C151" i="37"/>
  <c r="C95" i="37"/>
  <c r="C58" i="37"/>
  <c r="C8" i="37"/>
  <c r="C24" i="37"/>
  <c r="A300" i="37"/>
  <c r="A256" i="37"/>
  <c r="A210" i="37"/>
  <c r="A171" i="37"/>
  <c r="A291" i="37"/>
  <c r="A263" i="37"/>
  <c r="A201" i="37"/>
  <c r="A166" i="37"/>
  <c r="A99" i="37"/>
  <c r="A63" i="37"/>
  <c r="A6" i="37"/>
  <c r="A85" i="37"/>
  <c r="A49" i="37"/>
  <c r="A231" i="37"/>
  <c r="D275" i="37"/>
  <c r="D255" i="37"/>
  <c r="C305" i="37"/>
  <c r="C234" i="37"/>
  <c r="C160" i="37"/>
  <c r="C102" i="37"/>
  <c r="C288" i="37"/>
  <c r="C218" i="37"/>
  <c r="C91" i="37"/>
  <c r="C56" i="37"/>
  <c r="C4" i="37"/>
  <c r="A302" i="37"/>
  <c r="A258" i="37"/>
  <c r="A173" i="37"/>
  <c r="A265" i="37"/>
  <c r="A168" i="37"/>
  <c r="A65" i="37"/>
  <c r="A87" i="37"/>
  <c r="C149" i="37"/>
  <c r="C22" i="37"/>
  <c r="A194" i="37"/>
  <c r="A293" i="37"/>
  <c r="A203" i="37"/>
  <c r="A101" i="37"/>
  <c r="A8" i="37"/>
  <c r="A51" i="37"/>
  <c r="D9" i="9"/>
  <c r="A8" i="9"/>
  <c r="A6" i="9"/>
  <c r="D28" i="9"/>
  <c r="C14" i="9"/>
  <c r="F34" i="9"/>
  <c r="C10" i="9"/>
  <c r="C13" i="9"/>
  <c r="C23" i="9"/>
  <c r="D40" i="9"/>
  <c r="A37" i="9"/>
  <c r="D54" i="9"/>
  <c r="G2" i="9"/>
  <c r="C47" i="9"/>
  <c r="D22" i="9"/>
  <c r="C25" i="9"/>
  <c r="F6" i="9"/>
  <c r="D21" i="9"/>
  <c r="A26" i="9"/>
  <c r="C39" i="9"/>
  <c r="F57" i="9"/>
  <c r="D39" i="9"/>
  <c r="D56" i="9"/>
  <c r="A38" i="9"/>
  <c r="D24" i="9"/>
  <c r="D13" i="32"/>
  <c r="D5" i="32"/>
  <c r="D22" i="32"/>
  <c r="D17" i="32"/>
  <c r="A17" i="32"/>
  <c r="A7" i="32"/>
  <c r="D4" i="32"/>
  <c r="D30" i="9"/>
  <c r="A44" i="9"/>
  <c r="A2" i="19"/>
  <c r="A45" i="19"/>
  <c r="A7" i="9"/>
  <c r="D47" i="9"/>
  <c r="F28" i="9"/>
  <c r="F41" i="9"/>
  <c r="A25" i="9"/>
  <c r="C12" i="9"/>
  <c r="A12" i="9"/>
  <c r="D10" i="9"/>
  <c r="C6" i="9"/>
  <c r="A5" i="37"/>
  <c r="A72" i="37"/>
  <c r="A10" i="37"/>
  <c r="A69" i="37"/>
  <c r="A140" i="37"/>
  <c r="A193" i="37"/>
  <c r="A267" i="37"/>
  <c r="A95" i="37"/>
  <c r="A149" i="37"/>
  <c r="A248" i="37"/>
  <c r="A290" i="37"/>
  <c r="C49" i="37"/>
  <c r="C46" i="37"/>
  <c r="C105" i="37"/>
  <c r="C193" i="37"/>
  <c r="C282" i="37"/>
  <c r="C122" i="37"/>
  <c r="C205" i="37"/>
  <c r="C295" i="37"/>
  <c r="D161" i="37"/>
  <c r="D227" i="37"/>
  <c r="F4" i="32"/>
  <c r="A12" i="32"/>
  <c r="D11" i="9"/>
  <c r="C28" i="9"/>
  <c r="C11" i="9"/>
  <c r="F12" i="9"/>
  <c r="F9" i="9"/>
  <c r="A36" i="37"/>
  <c r="A70" i="37"/>
  <c r="A35" i="37"/>
  <c r="A92" i="37"/>
  <c r="A138" i="37"/>
  <c r="A211" i="37"/>
  <c r="A278" i="37"/>
  <c r="A126" i="37"/>
  <c r="A192" i="37"/>
  <c r="A246" i="37"/>
  <c r="A288" i="37"/>
  <c r="C52" i="37"/>
  <c r="C48" i="37"/>
  <c r="C107" i="37"/>
  <c r="C198" i="37"/>
  <c r="C284" i="37"/>
  <c r="C125" i="37"/>
  <c r="C208" i="37"/>
  <c r="C297" i="37"/>
  <c r="D182" i="37"/>
  <c r="D15" i="37"/>
  <c r="C18" i="32"/>
  <c r="D7" i="32"/>
  <c r="D6" i="32"/>
  <c r="C5" i="32"/>
  <c r="C12" i="32"/>
  <c r="C4" i="32"/>
  <c r="D18" i="32"/>
  <c r="D11" i="32"/>
  <c r="C26" i="32"/>
  <c r="F22" i="32"/>
  <c r="F13" i="32"/>
  <c r="A2" i="32"/>
  <c r="F28" i="32"/>
  <c r="D12" i="32"/>
  <c r="A42" i="9"/>
  <c r="A2" i="9"/>
  <c r="D13" i="9"/>
  <c r="C24" i="9"/>
  <c r="F27" i="32"/>
  <c r="D51" i="19"/>
  <c r="A30" i="19"/>
  <c r="D41" i="9"/>
  <c r="C36" i="9"/>
  <c r="A10" i="9"/>
  <c r="A13" i="9"/>
  <c r="D8" i="9"/>
  <c r="A34" i="37"/>
  <c r="A93" i="37"/>
  <c r="A33" i="37"/>
  <c r="A90" i="37"/>
  <c r="A136" i="37"/>
  <c r="A209" i="37"/>
  <c r="A276" i="37"/>
  <c r="A124" i="37"/>
  <c r="A190" i="37"/>
  <c r="A244" i="37"/>
  <c r="A286" i="37"/>
  <c r="C57" i="37"/>
  <c r="C51" i="37"/>
  <c r="C111" i="37"/>
  <c r="C200" i="37"/>
  <c r="C286" i="37"/>
  <c r="C131" i="37"/>
  <c r="C215" i="37"/>
  <c r="C302" i="37"/>
  <c r="D201" i="37"/>
  <c r="A2" i="37"/>
  <c r="C7" i="32"/>
  <c r="A47" i="19"/>
  <c r="D43" i="19"/>
  <c r="F55" i="9"/>
  <c r="C22" i="9"/>
  <c r="C27" i="32"/>
  <c r="F17" i="32"/>
  <c r="C13" i="18"/>
  <c r="A24" i="32"/>
  <c r="A4" i="31"/>
  <c r="D44" i="19"/>
  <c r="D10" i="19"/>
  <c r="A32" i="19"/>
  <c r="A20" i="18"/>
  <c r="B21" i="31"/>
  <c r="C28" i="18"/>
  <c r="B45" i="18"/>
  <c r="C45" i="18"/>
  <c r="B15" i="31"/>
  <c r="A58" i="9"/>
  <c r="C40" i="9"/>
  <c r="F53" i="9"/>
  <c r="F50" i="9"/>
  <c r="F21" i="9"/>
  <c r="A9" i="9"/>
  <c r="F13" i="9"/>
  <c r="A32" i="37"/>
  <c r="A91" i="37"/>
  <c r="A31" i="37"/>
  <c r="A86" i="37"/>
  <c r="A134" i="37"/>
  <c r="A207" i="37"/>
  <c r="A274" i="37"/>
  <c r="A120" i="37"/>
  <c r="A188" i="37"/>
  <c r="A254" i="37"/>
  <c r="A282" i="37"/>
  <c r="C59" i="37"/>
  <c r="C61" i="37"/>
  <c r="C118" i="37"/>
  <c r="C202" i="37"/>
  <c r="C296" i="37"/>
  <c r="C135" i="37"/>
  <c r="C217" i="37"/>
  <c r="C309" i="37"/>
  <c r="D237" i="37"/>
  <c r="A38" i="37"/>
  <c r="F12" i="32"/>
  <c r="F5" i="32"/>
  <c r="A5" i="32"/>
  <c r="A28" i="32"/>
  <c r="A13" i="32"/>
  <c r="A9" i="32"/>
  <c r="D20" i="9"/>
  <c r="A4" i="32"/>
  <c r="C42" i="9"/>
  <c r="C37" i="9"/>
  <c r="D12" i="9"/>
  <c r="A6" i="32"/>
  <c r="F47" i="9"/>
  <c r="C11" i="32"/>
  <c r="B15" i="18"/>
  <c r="A15" i="32"/>
  <c r="A19" i="31"/>
  <c r="D42" i="19"/>
  <c r="D14" i="19"/>
  <c r="A23" i="19"/>
  <c r="A38" i="19"/>
  <c r="A21" i="18"/>
  <c r="B11" i="31"/>
  <c r="B29" i="18"/>
  <c r="A46" i="18"/>
  <c r="B48" i="18"/>
  <c r="A6" i="31"/>
  <c r="D57" i="9"/>
  <c r="A39" i="9"/>
  <c r="F36" i="9"/>
  <c r="C21" i="9"/>
  <c r="D6" i="9"/>
  <c r="F14" i="9"/>
  <c r="A30" i="37"/>
  <c r="A89" i="37"/>
  <c r="A27" i="37"/>
  <c r="A84" i="37"/>
  <c r="A132" i="37"/>
  <c r="A205" i="37"/>
  <c r="A321" i="37"/>
  <c r="A118" i="37"/>
  <c r="A186" i="37"/>
  <c r="A252" i="37"/>
  <c r="C6" i="37"/>
  <c r="C63" i="37"/>
  <c r="C65" i="37"/>
  <c r="C124" i="37"/>
  <c r="C204" i="37"/>
  <c r="C300" i="37"/>
  <c r="C137" i="37"/>
  <c r="C219" i="37"/>
  <c r="C311" i="37"/>
  <c r="D239" i="37"/>
  <c r="A79" i="37"/>
  <c r="A489" i="36"/>
  <c r="E279" i="44"/>
  <c r="A6" i="34"/>
  <c r="C20" i="34"/>
  <c r="D17" i="7"/>
  <c r="D11" i="7"/>
  <c r="C58" i="7"/>
  <c r="F54" i="7"/>
  <c r="F36" i="7"/>
  <c r="F20" i="7"/>
  <c r="A17" i="7"/>
  <c r="F11" i="7"/>
  <c r="F6" i="7"/>
  <c r="C485" i="36"/>
  <c r="D17" i="49"/>
  <c r="C487" i="36"/>
  <c r="C15" i="34"/>
  <c r="A15" i="7"/>
  <c r="A9" i="34"/>
  <c r="D27" i="7"/>
  <c r="D9" i="7"/>
  <c r="F52" i="7"/>
  <c r="F33" i="7"/>
  <c r="C17" i="7"/>
  <c r="D57" i="7"/>
  <c r="D49" i="7"/>
  <c r="A11" i="7"/>
  <c r="C486" i="36"/>
  <c r="D486" i="36"/>
  <c r="C277" i="44"/>
  <c r="A8" i="49"/>
  <c r="A491" i="36"/>
  <c r="D7" i="49"/>
  <c r="E6" i="49"/>
  <c r="E14" i="49"/>
  <c r="E22" i="49"/>
  <c r="B10" i="49"/>
  <c r="B18" i="49"/>
  <c r="B25" i="49"/>
  <c r="E7" i="49"/>
  <c r="E15" i="49"/>
  <c r="E23" i="49"/>
  <c r="B11" i="49"/>
  <c r="B19" i="49"/>
  <c r="B20" i="49"/>
  <c r="E8" i="49"/>
  <c r="E16" i="49"/>
  <c r="E24" i="49"/>
  <c r="B12" i="49"/>
  <c r="E21" i="49"/>
  <c r="E9" i="49"/>
  <c r="E17" i="49"/>
  <c r="E25" i="49"/>
  <c r="B13" i="49"/>
  <c r="B21" i="49"/>
  <c r="B17" i="49"/>
  <c r="E10" i="49"/>
  <c r="E18" i="49"/>
  <c r="B6" i="49"/>
  <c r="B14" i="49"/>
  <c r="B22" i="49"/>
  <c r="E13" i="49"/>
  <c r="E11" i="49"/>
  <c r="E19" i="49"/>
  <c r="B7" i="49"/>
  <c r="B15" i="49"/>
  <c r="B23" i="49"/>
  <c r="B9" i="49"/>
  <c r="E12" i="49"/>
  <c r="E20" i="49"/>
  <c r="B8" i="49"/>
  <c r="B16" i="49"/>
  <c r="B24" i="49"/>
  <c r="D12" i="49"/>
  <c r="D11" i="49"/>
  <c r="D10" i="49"/>
  <c r="C8" i="9"/>
  <c r="A5" i="9"/>
  <c r="D473" i="42"/>
  <c r="D800" i="42"/>
  <c r="D801" i="42"/>
  <c r="D720" i="42"/>
  <c r="C796" i="42"/>
  <c r="C719" i="42"/>
  <c r="C664" i="42"/>
  <c r="A3" i="42"/>
  <c r="C635" i="42"/>
  <c r="C576" i="42"/>
  <c r="C638" i="42"/>
  <c r="D535" i="42"/>
  <c r="C48" i="42"/>
  <c r="C148" i="42"/>
  <c r="C526" i="42"/>
  <c r="C524" i="42"/>
  <c r="C475" i="42"/>
  <c r="C404" i="42"/>
  <c r="A355" i="42"/>
  <c r="C153" i="42"/>
  <c r="C212" i="42"/>
  <c r="C337" i="42"/>
  <c r="C225" i="42"/>
  <c r="C270" i="42"/>
  <c r="C803" i="42"/>
  <c r="D790" i="42"/>
  <c r="C784" i="42"/>
  <c r="C735" i="42"/>
  <c r="C721" i="42"/>
  <c r="C663" i="42"/>
  <c r="A545" i="42"/>
  <c r="C637" i="42"/>
  <c r="C580" i="42"/>
  <c r="C643" i="42"/>
  <c r="D542" i="42"/>
  <c r="C50" i="42"/>
  <c r="C211" i="42"/>
  <c r="C532" i="42"/>
  <c r="D404" i="42"/>
  <c r="C68" i="42"/>
  <c r="C465" i="42"/>
  <c r="D346" i="42"/>
  <c r="C156" i="42"/>
  <c r="C217" i="42"/>
  <c r="C346" i="42"/>
  <c r="D215" i="42"/>
  <c r="C273" i="42"/>
  <c r="C786" i="42"/>
  <c r="C271" i="42"/>
  <c r="C801" i="42"/>
  <c r="C47" i="42"/>
  <c r="C787" i="42"/>
  <c r="A741" i="42"/>
  <c r="C731" i="42"/>
  <c r="A667" i="42"/>
  <c r="C578" i="42"/>
  <c r="C639" i="42"/>
  <c r="C586" i="42"/>
  <c r="C645" i="42"/>
  <c r="C542" i="42"/>
  <c r="C52" i="42"/>
  <c r="C525" i="42"/>
  <c r="C480" i="42"/>
  <c r="C460" i="42"/>
  <c r="C115" i="42"/>
  <c r="D407" i="42"/>
  <c r="C351" i="42"/>
  <c r="D156" i="42"/>
  <c r="C223" i="42"/>
  <c r="C213" i="42"/>
  <c r="C275" i="42"/>
  <c r="C269" i="42"/>
  <c r="C723" i="42"/>
  <c r="D802" i="42"/>
  <c r="C53" i="42"/>
  <c r="C791" i="42"/>
  <c r="A411" i="42"/>
  <c r="D725" i="42"/>
  <c r="D525" i="42"/>
  <c r="C582" i="42"/>
  <c r="C644" i="42"/>
  <c r="C588" i="42"/>
  <c r="C650" i="42"/>
  <c r="C535" i="42"/>
  <c r="C55" i="42"/>
  <c r="C479" i="42"/>
  <c r="C482" i="42"/>
  <c r="C461" i="42"/>
  <c r="C155" i="42"/>
  <c r="C466" i="42"/>
  <c r="C350" i="42"/>
  <c r="D154" i="42"/>
  <c r="C332" i="42"/>
  <c r="C215" i="42"/>
  <c r="C279" i="42"/>
  <c r="C229" i="42"/>
  <c r="C56" i="42"/>
  <c r="D803" i="42"/>
  <c r="C58" i="42"/>
  <c r="C794" i="42"/>
  <c r="C736" i="42"/>
  <c r="C722" i="42"/>
  <c r="D643" i="42"/>
  <c r="C587" i="42"/>
  <c r="C649" i="42"/>
  <c r="D586" i="42"/>
  <c r="C654" i="42"/>
  <c r="D526" i="42"/>
  <c r="C57" i="42"/>
  <c r="C481" i="42"/>
  <c r="D480" i="42"/>
  <c r="C469" i="42"/>
  <c r="D155" i="42"/>
  <c r="C467" i="42"/>
  <c r="C352" i="42"/>
  <c r="C149" i="42"/>
  <c r="C335" i="42"/>
  <c r="C218" i="42"/>
  <c r="C224" i="42"/>
  <c r="C46" i="42"/>
  <c r="C51" i="42"/>
  <c r="C800" i="42"/>
  <c r="C114" i="42"/>
  <c r="C783" i="42"/>
  <c r="C737" i="42"/>
  <c r="D638" i="42"/>
  <c r="D640" i="42"/>
  <c r="C589" i="42"/>
  <c r="C652" i="42"/>
  <c r="D588" i="42"/>
  <c r="C656" i="42"/>
  <c r="C60" i="42"/>
  <c r="D481" i="42"/>
  <c r="D482" i="42"/>
  <c r="D51" i="42"/>
  <c r="D334" i="42"/>
  <c r="C219" i="42"/>
  <c r="D68" i="42"/>
  <c r="C334" i="42"/>
  <c r="C220" i="42"/>
  <c r="D220" i="42"/>
  <c r="C462" i="42"/>
  <c r="C62" i="42"/>
  <c r="C802" i="42"/>
  <c r="C782" i="42"/>
  <c r="C788" i="42"/>
  <c r="D652" i="42"/>
  <c r="D639" i="42"/>
  <c r="D587" i="42"/>
  <c r="C655" i="42"/>
  <c r="A592" i="42"/>
  <c r="C659" i="42"/>
  <c r="C538" i="42"/>
  <c r="C64" i="42"/>
  <c r="A282" i="42"/>
  <c r="A485" i="42"/>
  <c r="C464" i="42"/>
  <c r="A123" i="42"/>
  <c r="C407" i="42"/>
  <c r="D214" i="42"/>
  <c r="A71" i="42"/>
  <c r="C336" i="42"/>
  <c r="D217" i="42"/>
  <c r="D223" i="42"/>
  <c r="D47" i="19"/>
  <c r="C471" i="42"/>
  <c r="D589" i="42"/>
  <c r="A232" i="42"/>
  <c r="C533" i="42"/>
  <c r="C154" i="42"/>
  <c r="A36" i="18"/>
  <c r="F40" i="9"/>
  <c r="C342" i="42"/>
  <c r="C120" i="42"/>
  <c r="C720" i="42"/>
  <c r="A159" i="42"/>
  <c r="C531" i="42"/>
  <c r="C793" i="42"/>
  <c r="C116" i="42"/>
  <c r="D527" i="42"/>
  <c r="D788" i="42"/>
  <c r="C402" i="42"/>
  <c r="C636" i="42"/>
  <c r="D479" i="42"/>
  <c r="E53" i="44"/>
  <c r="C58" i="44"/>
  <c r="E200" i="44"/>
  <c r="C370" i="44"/>
  <c r="E414" i="44"/>
  <c r="C428" i="44"/>
  <c r="E327" i="44"/>
  <c r="E454" i="44"/>
  <c r="E439" i="44"/>
  <c r="E425" i="44"/>
  <c r="E419" i="44"/>
  <c r="E417" i="44"/>
  <c r="E392" i="44"/>
  <c r="E394" i="44"/>
  <c r="E399" i="44"/>
  <c r="E382" i="44"/>
  <c r="E372" i="44"/>
  <c r="E363" i="44"/>
  <c r="E354" i="44"/>
  <c r="E343" i="44"/>
  <c r="E337" i="44"/>
  <c r="E322" i="44"/>
  <c r="E317" i="44"/>
  <c r="E309" i="44"/>
  <c r="E294" i="44"/>
  <c r="E289" i="44"/>
  <c r="E221" i="44"/>
  <c r="E218" i="44"/>
  <c r="E274" i="44"/>
  <c r="E260" i="44"/>
  <c r="E256" i="44"/>
  <c r="E250" i="44"/>
  <c r="E238" i="44"/>
  <c r="E233" i="44"/>
  <c r="E208" i="44"/>
  <c r="E204" i="44"/>
  <c r="E188" i="44"/>
  <c r="E186" i="44"/>
  <c r="E178" i="44"/>
  <c r="E170" i="44"/>
  <c r="E163" i="44"/>
  <c r="E154" i="44"/>
  <c r="E145" i="44"/>
  <c r="E135" i="44"/>
  <c r="E130" i="44"/>
  <c r="E123" i="44"/>
  <c r="E110" i="44"/>
  <c r="E108" i="44"/>
  <c r="E99" i="44"/>
  <c r="E76" i="44"/>
  <c r="E70" i="44"/>
  <c r="E64" i="44"/>
  <c r="E52" i="44"/>
  <c r="E45" i="44"/>
  <c r="E36" i="44"/>
  <c r="E26" i="44"/>
  <c r="E18" i="44"/>
  <c r="E80" i="44"/>
  <c r="E10" i="44"/>
  <c r="C329" i="44"/>
  <c r="C459" i="44"/>
  <c r="C448" i="44"/>
  <c r="C445" i="44"/>
  <c r="C434" i="44"/>
  <c r="C421" i="44"/>
  <c r="C415" i="44"/>
  <c r="C406" i="44"/>
  <c r="C390" i="44"/>
  <c r="C388" i="44"/>
  <c r="C380" i="44"/>
  <c r="C374" i="44"/>
  <c r="C361" i="44"/>
  <c r="C279" i="44"/>
  <c r="E58" i="44"/>
  <c r="C96" i="44"/>
  <c r="E370" i="44"/>
  <c r="C379" i="44"/>
  <c r="E428" i="44"/>
  <c r="C438" i="44"/>
  <c r="E329" i="44"/>
  <c r="E459" i="44"/>
  <c r="E448" i="44"/>
  <c r="E445" i="44"/>
  <c r="E434" i="44"/>
  <c r="E421" i="44"/>
  <c r="E415" i="44"/>
  <c r="E406" i="44"/>
  <c r="E390" i="44"/>
  <c r="E388" i="44"/>
  <c r="E380" i="44"/>
  <c r="E374" i="44"/>
  <c r="E361" i="44"/>
  <c r="E352" i="44"/>
  <c r="E341" i="44"/>
  <c r="E332" i="44"/>
  <c r="E319" i="44"/>
  <c r="E305" i="44"/>
  <c r="E299" i="44"/>
  <c r="E296" i="44"/>
  <c r="E285" i="44"/>
  <c r="E224" i="44"/>
  <c r="E219" i="44"/>
  <c r="E270" i="44"/>
  <c r="E264" i="44"/>
  <c r="E255" i="44"/>
  <c r="E248" i="44"/>
  <c r="E240" i="44"/>
  <c r="E231" i="44"/>
  <c r="E209" i="44"/>
  <c r="E201" i="44"/>
  <c r="E193" i="44"/>
  <c r="E174" i="44"/>
  <c r="E182" i="44"/>
  <c r="E169" i="44"/>
  <c r="E164" i="44"/>
  <c r="E151" i="44"/>
  <c r="E147" i="44"/>
  <c r="E136" i="44"/>
  <c r="E126" i="44"/>
  <c r="E119" i="44"/>
  <c r="E113" i="44"/>
  <c r="E107" i="44"/>
  <c r="E91" i="44"/>
  <c r="E77" i="44"/>
  <c r="E67" i="44"/>
  <c r="E59" i="44"/>
  <c r="E49" i="44"/>
  <c r="E41" i="44"/>
  <c r="E33" i="44"/>
  <c r="E25" i="44"/>
  <c r="E16" i="44"/>
  <c r="E82" i="44"/>
  <c r="E6" i="44"/>
  <c r="C331" i="44"/>
  <c r="C451" i="44"/>
  <c r="C453" i="44"/>
  <c r="C442" i="44"/>
  <c r="C432" i="44"/>
  <c r="C423" i="44"/>
  <c r="C412" i="44"/>
  <c r="C397" i="44"/>
  <c r="C391" i="44"/>
  <c r="C385" i="44"/>
  <c r="C377" i="44"/>
  <c r="C362" i="44"/>
  <c r="E28" i="44"/>
  <c r="C54" i="44"/>
  <c r="E195" i="44"/>
  <c r="C288" i="44"/>
  <c r="E411" i="44"/>
  <c r="C430" i="44"/>
  <c r="E330" i="44"/>
  <c r="E458" i="44"/>
  <c r="E446" i="44"/>
  <c r="E440" i="44"/>
  <c r="E433" i="44"/>
  <c r="E420" i="44"/>
  <c r="E413" i="44"/>
  <c r="E404" i="44"/>
  <c r="E395" i="44"/>
  <c r="E387" i="44"/>
  <c r="E375" i="44"/>
  <c r="E367" i="44"/>
  <c r="E358" i="44"/>
  <c r="E350" i="44"/>
  <c r="E340" i="44"/>
  <c r="E334" i="44"/>
  <c r="E313" i="44"/>
  <c r="E306" i="44"/>
  <c r="E303" i="44"/>
  <c r="E297" i="44"/>
  <c r="E284" i="44"/>
  <c r="E223" i="44"/>
  <c r="E220" i="44"/>
  <c r="E272" i="44"/>
  <c r="E263" i="44"/>
  <c r="E251" i="44"/>
  <c r="E246" i="44"/>
  <c r="E241" i="44"/>
  <c r="E226" i="44"/>
  <c r="E210" i="44"/>
  <c r="E202" i="44"/>
  <c r="E192" i="44"/>
  <c r="E183" i="44"/>
  <c r="E175" i="44"/>
  <c r="E167" i="44"/>
  <c r="E158" i="44"/>
  <c r="E153" i="44"/>
  <c r="E143" i="44"/>
  <c r="E138" i="44"/>
  <c r="E131" i="44"/>
  <c r="E116" i="44"/>
  <c r="E111" i="44"/>
  <c r="E102" i="44"/>
  <c r="E90" i="44"/>
  <c r="E75" i="44"/>
  <c r="E66" i="44"/>
  <c r="E60" i="44"/>
  <c r="E48" i="44"/>
  <c r="E40" i="44"/>
  <c r="E32" i="44"/>
  <c r="E22" i="44"/>
  <c r="E17" i="44"/>
  <c r="E83" i="44"/>
  <c r="E5" i="44"/>
  <c r="C324" i="44"/>
  <c r="C457" i="44"/>
  <c r="C447" i="44"/>
  <c r="C444" i="44"/>
  <c r="C431" i="44"/>
  <c r="C424" i="44"/>
  <c r="C407" i="44"/>
  <c r="C402" i="44"/>
  <c r="C393" i="44"/>
  <c r="C384" i="44"/>
  <c r="C369" i="44"/>
  <c r="C366" i="44"/>
  <c r="E54" i="44"/>
  <c r="C72" i="44"/>
  <c r="E288" i="44"/>
  <c r="C376" i="44"/>
  <c r="E430" i="44"/>
  <c r="C429" i="44"/>
  <c r="E324" i="44"/>
  <c r="E457" i="44"/>
  <c r="E447" i="44"/>
  <c r="E444" i="44"/>
  <c r="E431" i="44"/>
  <c r="E424" i="44"/>
  <c r="E407" i="44"/>
  <c r="E402" i="44"/>
  <c r="E393" i="44"/>
  <c r="E384" i="44"/>
  <c r="E369" i="44"/>
  <c r="E366" i="44"/>
  <c r="E356" i="44"/>
  <c r="E347" i="44"/>
  <c r="E345" i="44"/>
  <c r="E333" i="44"/>
  <c r="E318" i="44"/>
  <c r="E311" i="44"/>
  <c r="E301" i="44"/>
  <c r="E290" i="44"/>
  <c r="E282" i="44"/>
  <c r="E216" i="44"/>
  <c r="E273" i="44"/>
  <c r="E266" i="44"/>
  <c r="E262" i="44"/>
  <c r="E254" i="44"/>
  <c r="E245" i="44"/>
  <c r="E236" i="44"/>
  <c r="E229" i="44"/>
  <c r="E207" i="44"/>
  <c r="E198" i="44"/>
  <c r="E190" i="44"/>
  <c r="E184" i="44"/>
  <c r="E172" i="44"/>
  <c r="E166" i="44"/>
  <c r="E160" i="44"/>
  <c r="E149" i="44"/>
  <c r="E141" i="44"/>
  <c r="E133" i="44"/>
  <c r="E124" i="44"/>
  <c r="E117" i="44"/>
  <c r="E103" i="44"/>
  <c r="E97" i="44"/>
  <c r="E93" i="44"/>
  <c r="E73" i="44"/>
  <c r="E62" i="44"/>
  <c r="E56" i="44"/>
  <c r="E42" i="44"/>
  <c r="E38" i="44"/>
  <c r="E31" i="44"/>
  <c r="E21" i="44"/>
  <c r="E14" i="44"/>
  <c r="E85" i="44"/>
  <c r="E7" i="44"/>
  <c r="C326" i="44"/>
  <c r="C456" i="44"/>
  <c r="C455" i="44"/>
  <c r="C437" i="44"/>
  <c r="C426" i="44"/>
  <c r="C416" i="44"/>
  <c r="C408" i="44"/>
  <c r="C405" i="44"/>
  <c r="C403" i="44"/>
  <c r="C381" i="44"/>
  <c r="C368" i="44"/>
  <c r="B128" i="5"/>
  <c r="C30" i="34"/>
  <c r="F64" i="5"/>
  <c r="C31" i="34"/>
  <c r="C187" i="44"/>
  <c r="C197" i="44"/>
  <c r="C205" i="44"/>
  <c r="C227" i="44"/>
  <c r="C235" i="44"/>
  <c r="C242" i="44"/>
  <c r="C247" i="44"/>
  <c r="C257" i="44"/>
  <c r="C269" i="44"/>
  <c r="C275" i="44"/>
  <c r="C214" i="44"/>
  <c r="C281" i="44"/>
  <c r="C293" i="44"/>
  <c r="C298" i="44"/>
  <c r="C307" i="44"/>
  <c r="C315" i="44"/>
  <c r="C323" i="44"/>
  <c r="C339" i="44"/>
  <c r="C348" i="44"/>
  <c r="C353" i="44"/>
  <c r="C365" i="44"/>
  <c r="C383" i="44"/>
  <c r="C400" i="44"/>
  <c r="C418" i="44"/>
  <c r="C441" i="44"/>
  <c r="C450" i="44"/>
  <c r="E8" i="44"/>
  <c r="E13" i="44"/>
  <c r="E29" i="44"/>
  <c r="E46" i="44"/>
  <c r="E68" i="44"/>
  <c r="E92" i="44"/>
  <c r="E112" i="44"/>
  <c r="E125" i="44"/>
  <c r="E142" i="44"/>
  <c r="E162" i="44"/>
  <c r="E181" i="44"/>
  <c r="E191" i="44"/>
  <c r="E211" i="44"/>
  <c r="E237" i="44"/>
  <c r="E253" i="44"/>
  <c r="E267" i="44"/>
  <c r="E222" i="44"/>
  <c r="E292" i="44"/>
  <c r="E308" i="44"/>
  <c r="E335" i="44"/>
  <c r="E349" i="44"/>
  <c r="E362" i="44"/>
  <c r="E385" i="44"/>
  <c r="E397" i="44"/>
  <c r="E423" i="44"/>
  <c r="E442" i="44"/>
  <c r="E451" i="44"/>
  <c r="E386" i="44"/>
  <c r="E129" i="44"/>
  <c r="E277" i="44"/>
  <c r="B13" i="48"/>
  <c r="B73" i="48"/>
  <c r="B140" i="48"/>
  <c r="B14" i="48"/>
  <c r="B44" i="48"/>
  <c r="B74" i="48"/>
  <c r="B104" i="48"/>
  <c r="B134" i="48"/>
  <c r="B164" i="48"/>
  <c r="B12" i="48"/>
  <c r="B56" i="48"/>
  <c r="B116" i="48"/>
  <c r="B87" i="48"/>
  <c r="B27" i="48"/>
  <c r="B96" i="48"/>
  <c r="B156" i="48"/>
  <c r="B21" i="48"/>
  <c r="B51" i="48"/>
  <c r="B81" i="48"/>
  <c r="B111" i="48"/>
  <c r="B141" i="48"/>
  <c r="B171" i="48"/>
  <c r="B26" i="48"/>
  <c r="B72" i="48"/>
  <c r="B139" i="48"/>
  <c r="B36" i="48"/>
  <c r="B103" i="48"/>
  <c r="B163" i="48"/>
  <c r="B22" i="48"/>
  <c r="B52" i="48"/>
  <c r="B82" i="48"/>
  <c r="B112" i="48"/>
  <c r="B142" i="48"/>
  <c r="B172" i="48"/>
  <c r="B79" i="48"/>
  <c r="B146" i="48"/>
  <c r="B155" i="48"/>
  <c r="B50" i="48"/>
  <c r="B117" i="48"/>
  <c r="B177" i="48"/>
  <c r="B29" i="48"/>
  <c r="B59" i="48"/>
  <c r="B88" i="48"/>
  <c r="B119" i="48"/>
  <c r="B149" i="48"/>
  <c r="B179" i="48"/>
  <c r="B35" i="48"/>
  <c r="B95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</author>
  </authors>
  <commentList>
    <comment ref="B33" authorId="0" shapeId="0" xr:uid="{00000000-0006-0000-1100-000001000000}">
      <text>
        <r>
          <rPr>
            <b/>
            <sz val="9"/>
            <color indexed="81"/>
            <rFont val="宋体"/>
            <family val="3"/>
            <charset val="134"/>
          </rPr>
          <t>zbyxzh:</t>
        </r>
        <r>
          <rPr>
            <sz val="9"/>
            <color indexed="81"/>
            <rFont val="宋体"/>
            <family val="3"/>
            <charset val="134"/>
          </rPr>
          <t xml:space="preserve">
选择任务“破碎的异世之剑”（1-6-2），进入沉没神殿，触发莉亚的对话“看看这座建筑！比原罪之战的历史还要悠久！”便可激活对话选项“关于沉没神殿”。激活以后，右键左上角莉亚头像即可对话。如果没有听到对话，重建游戏，飞至沉没神殿门口的储存点，多试几次即可触发。</t>
        </r>
      </text>
    </comment>
    <comment ref="D295" authorId="0" shapeId="0" xr:uid="{00000000-0006-0000-1100-000002000000}">
      <text>
        <r>
          <rPr>
            <b/>
            <sz val="9"/>
            <color indexed="81"/>
            <rFont val="宋体"/>
            <family val="3"/>
            <charset val="134"/>
          </rPr>
          <t>zbyxzh:</t>
        </r>
        <r>
          <rPr>
            <sz val="9"/>
            <color indexed="81"/>
            <rFont val="宋体"/>
            <family val="3"/>
            <charset val="134"/>
          </rPr>
          <t xml:space="preserve">
选择任务“破碎的异世之剑”（1-6-2），进入沉没神殿，触发莉亚的对话“看看这座建筑！比原罪之战的历史还要悠久！”便可激活对话选项“关于沉没神殿”。激活以后，右键左上角莉亚头像即可对话。如果没有听到对话，重建游戏，飞至沉没神殿门口的储存点，多试几次即可触发。</t>
        </r>
      </text>
    </comment>
  </commentList>
</comments>
</file>

<file path=xl/sharedStrings.xml><?xml version="1.0" encoding="utf-8"?>
<sst xmlns="http://schemas.openxmlformats.org/spreadsheetml/2006/main" count="18008" uniqueCount="6919">
  <si>
    <t>A2</t>
    <phoneticPr fontId="7" type="noConversion"/>
  </si>
  <si>
    <t>A4</t>
    <phoneticPr fontId="7" type="noConversion"/>
  </si>
  <si>
    <t>銀光尖塔第一層</t>
  </si>
  <si>
    <t>大教堂第四層</t>
  </si>
  <si>
    <t>暗月族戰士</t>
  </si>
  <si>
    <t>艾瑞妮洞窟</t>
  </si>
  <si>
    <t>小蜘蛛</t>
  </si>
  <si>
    <t>黑暗教徒</t>
  </si>
  <si>
    <t>屍魔</t>
  </si>
  <si>
    <t>沙丘刃妖</t>
  </si>
  <si>
    <t>達厄古綠洲</t>
  </si>
  <si>
    <t>沉淪魔</t>
  </si>
  <si>
    <t>乾化魔嬰</t>
  </si>
  <si>
    <t>暗影之境</t>
  </si>
  <si>
    <t>風暴長廊</t>
  </si>
  <si>
    <t>兇邪蟲群</t>
  </si>
  <si>
    <t>奧卡納斯</t>
  </si>
  <si>
    <t>震地魔</t>
  </si>
  <si>
    <t>惡魔突擊兵</t>
  </si>
  <si>
    <t>烈火食屍鬼</t>
  </si>
  <si>
    <t>血族戰士</t>
  </si>
  <si>
    <t>血族標槍兵</t>
  </si>
  <si>
    <t>撕魂獸</t>
  </si>
  <si>
    <t>魅魔</t>
  </si>
  <si>
    <t>銀光尖塔第二層</t>
  </si>
  <si>
    <t>魔虜焚火師</t>
  </si>
  <si>
    <t>A1</t>
    <phoneticPr fontId="7" type="noConversion"/>
  </si>
  <si>
    <t>地图</t>
    <phoneticPr fontId="7" type="noConversion"/>
  </si>
  <si>
    <t xml:space="preserve"> </t>
    <phoneticPr fontId="7" type="noConversion"/>
  </si>
  <si>
    <t>A3</t>
    <phoneticPr fontId="7" type="noConversion"/>
  </si>
  <si>
    <t>嚎泣高原</t>
  </si>
  <si>
    <t>说明：本表只说明这些地方出现过精英，不代表只在这里出或这里最容易出。</t>
    <phoneticPr fontId="7" type="noConversion"/>
  </si>
  <si>
    <t>遺失的商隊</t>
    <phoneticPr fontId="7" type="noConversion"/>
  </si>
  <si>
    <t>同上</t>
    <phoneticPr fontId="7" type="noConversion"/>
  </si>
  <si>
    <t>同上</t>
    <phoneticPr fontId="7" type="noConversion"/>
  </si>
  <si>
    <t>A4</t>
    <phoneticPr fontId="7" type="noConversion"/>
  </si>
  <si>
    <t>A3</t>
    <phoneticPr fontId="7" type="noConversion"/>
  </si>
  <si>
    <t>屍塊收割者</t>
  </si>
  <si>
    <t>狂怒幽靈</t>
  </si>
  <si>
    <t>殺手亡魂</t>
  </si>
  <si>
    <t>恐蛛</t>
  </si>
  <si>
    <t>劇毒潛伏者</t>
  </si>
  <si>
    <t>黑暗召喚師</t>
  </si>
  <si>
    <t>復生死屍</t>
  </si>
  <si>
    <t>沉淪魔督軍</t>
  </si>
  <si>
    <t>咒虐者</t>
  </si>
  <si>
    <t>陰森亡靈</t>
  </si>
  <si>
    <t>拉庫尼潛伏者</t>
  </si>
  <si>
    <t>凍寒傀儡</t>
  </si>
  <si>
    <t>悶燃傀儡</t>
  </si>
  <si>
    <t>電能傀儡</t>
  </si>
  <si>
    <t>劇毒傀儡</t>
  </si>
  <si>
    <t>盤蛇法師</t>
  </si>
  <si>
    <t>盤蛇魅影怪</t>
  </si>
  <si>
    <t>狂暴魔狼</t>
  </si>
  <si>
    <t>精神錯亂的教徒</t>
  </si>
  <si>
    <t>惡邪喚魔師</t>
  </si>
  <si>
    <t>惡魔掠劫者</t>
  </si>
  <si>
    <t>沉淪魔奴隸主</t>
  </si>
  <si>
    <t>咒謾者</t>
  </si>
  <si>
    <t>血族打擊兵</t>
  </si>
  <si>
    <t>血族法師</t>
  </si>
  <si>
    <t>魔化蛇蟲</t>
  </si>
  <si>
    <t>速捷顱骸砍劈者</t>
  </si>
  <si>
    <t>腐化的天使</t>
  </si>
  <si>
    <t>末日騎獸</t>
  </si>
  <si>
    <t>地獄女巫</t>
  </si>
  <si>
    <t>嚎泣高原-熱風洞窟</t>
  </si>
  <si>
    <t>達厄古綠洲-遺忘廢墟</t>
  </si>
  <si>
    <t>刺風沙漠-廢墟</t>
  </si>
  <si>
    <t>冬禍女獵手</t>
    <phoneticPr fontId="7" type="noConversion"/>
  </si>
  <si>
    <t>撕魂獸</t>
    <phoneticPr fontId="7" type="noConversion"/>
  </si>
  <si>
    <t>苟爾勾巨魔</t>
    <phoneticPr fontId="7" type="noConversion"/>
  </si>
  <si>
    <t>A4</t>
    <phoneticPr fontId="12" type="noConversion"/>
  </si>
  <si>
    <t>A3</t>
    <phoneticPr fontId="12" type="noConversion"/>
  </si>
  <si>
    <t>A3</t>
    <phoneticPr fontId="12" type="noConversion"/>
  </si>
  <si>
    <t>A2</t>
    <phoneticPr fontId="12" type="noConversion"/>
  </si>
  <si>
    <t>A1</t>
    <phoneticPr fontId="12" type="noConversion"/>
  </si>
  <si>
    <t>A2</t>
    <phoneticPr fontId="12" type="noConversion"/>
  </si>
  <si>
    <t>A2</t>
    <phoneticPr fontId="12" type="noConversion"/>
  </si>
  <si>
    <t>A2</t>
    <phoneticPr fontId="12" type="noConversion"/>
  </si>
  <si>
    <t>A2</t>
    <phoneticPr fontId="12" type="noConversion"/>
  </si>
  <si>
    <t>A1</t>
    <phoneticPr fontId="12" type="noConversion"/>
  </si>
  <si>
    <t>A1</t>
    <phoneticPr fontId="12" type="noConversion"/>
  </si>
  <si>
    <t>A1</t>
    <phoneticPr fontId="12" type="noConversion"/>
  </si>
  <si>
    <t>A1</t>
    <phoneticPr fontId="12" type="noConversion"/>
  </si>
  <si>
    <t>A2</t>
    <phoneticPr fontId="12" type="noConversion"/>
  </si>
  <si>
    <t>A3</t>
    <phoneticPr fontId="12" type="noConversion"/>
  </si>
  <si>
    <t>A4</t>
    <phoneticPr fontId="12" type="noConversion"/>
  </si>
  <si>
    <t>ACT1</t>
    <phoneticPr fontId="7" type="noConversion"/>
  </si>
  <si>
    <t>出自成就“撞到鬼”</t>
    <phoneticPr fontId="7" type="noConversion"/>
  </si>
  <si>
    <t>出自成就“巴希尼休”</t>
    <phoneticPr fontId="7" type="noConversion"/>
  </si>
  <si>
    <t>暗影殘魂</t>
    <phoneticPr fontId="12" type="noConversion"/>
  </si>
  <si>
    <t>akao</t>
    <phoneticPr fontId="12" type="noConversion"/>
  </si>
  <si>
    <t>Kane</t>
    <phoneticPr fontId="12" type="noConversion"/>
  </si>
  <si>
    <t>ACT5</t>
    <phoneticPr fontId="7" type="noConversion"/>
  </si>
  <si>
    <t>A5</t>
  </si>
  <si>
    <t>A5</t>
    <phoneticPr fontId="7" type="noConversion"/>
  </si>
  <si>
    <t>A5</t>
    <phoneticPr fontId="7" type="noConversion"/>
  </si>
  <si>
    <t>喚鼠狂魔</t>
  </si>
  <si>
    <t>狂怒幽影</t>
  </si>
  <si>
    <t>笞爬獸</t>
  </si>
  <si>
    <t>陷阱沼澤怪</t>
  </si>
  <si>
    <t>飛翼兇魔</t>
  </si>
  <si>
    <t>處決者</t>
  </si>
  <si>
    <t>原生鎧岩獸</t>
  </si>
  <si>
    <t>擲渣小妖</t>
  </si>
  <si>
    <t>邪蝠</t>
  </si>
  <si>
    <t>死亡侍女</t>
  </si>
  <si>
    <t>亡魄盾衛</t>
  </si>
  <si>
    <t>邪天靈</t>
  </si>
  <si>
    <t>骷髏爬行怪</t>
  </si>
  <si>
    <t>蛆蟲巢獸</t>
  </si>
  <si>
    <t>洞穴蝙蝠</t>
  </si>
  <si>
    <t>長牙沼澤怪</t>
  </si>
  <si>
    <t>蠍甲蟲</t>
  </si>
  <si>
    <t>督天靈</t>
  </si>
  <si>
    <t>叛天靈</t>
  </si>
  <si>
    <t>突衝獸</t>
  </si>
  <si>
    <t>馭屍者</t>
  </si>
  <si>
    <t>亡魄士兵</t>
  </si>
  <si>
    <t>亡魄弓箭手</t>
  </si>
  <si>
    <t>兇犬</t>
  </si>
  <si>
    <t>说明：第五章含STD和HC两个勇士怪成就，但具体内容完全一致。</t>
  </si>
  <si>
    <t>说明：第五章含STD和HC两个勇士怪成就，但具体内容完全一致。</t>
    <phoneticPr fontId="7" type="noConversion"/>
  </si>
  <si>
    <t>说明：第五章含STD和HC两个稀有怪成就，但具体内容完全一致。</t>
    <phoneticPr fontId="7" type="noConversion"/>
  </si>
  <si>
    <t>冒險者的日記</t>
  </si>
  <si>
    <t>Adventurer's Journal</t>
  </si>
  <si>
    <t>潘德佩卻斯</t>
  </si>
  <si>
    <t>手套</t>
    <phoneticPr fontId="7" type="noConversion"/>
  </si>
  <si>
    <t>各章节可点击、可破坏物品</t>
    <phoneticPr fontId="7" type="noConversion"/>
  </si>
  <si>
    <t>天使碎片</t>
  </si>
  <si>
    <t>Angelic Shard</t>
  </si>
  <si>
    <t>神聖保衛</t>
    <phoneticPr fontId="7" type="noConversion"/>
  </si>
  <si>
    <t>套装</t>
    <phoneticPr fontId="7" type="noConversion"/>
  </si>
  <si>
    <t>貝西斯登的符文</t>
  </si>
  <si>
    <t>Behistun Rune</t>
  </si>
  <si>
    <t>賢者眾的印記</t>
  </si>
  <si>
    <t>法杖</t>
    <phoneticPr fontId="7" type="noConversion"/>
  </si>
  <si>
    <t>染血的蠍螯</t>
  </si>
  <si>
    <t>Bloody Pincer</t>
  </si>
  <si>
    <t>惡魔之爪</t>
  </si>
  <si>
    <t>拳套武器</t>
    <phoneticPr fontId="7" type="noConversion"/>
  </si>
  <si>
    <t>A5 Ruins of Corvus Balata</t>
    <phoneticPr fontId="7" type="noConversion"/>
  </si>
  <si>
    <t>博恩的秘訣</t>
  </si>
  <si>
    <t>Born's Key</t>
  </si>
  <si>
    <t>博恩的號令</t>
  </si>
  <si>
    <t>套裝</t>
    <phoneticPr fontId="7" type="noConversion"/>
  </si>
  <si>
    <t>A1 荒棄墓園 墮落的魯休斯</t>
    <phoneticPr fontId="7" type="noConversion"/>
  </si>
  <si>
    <t>被捕獲的夢魘</t>
  </si>
  <si>
    <t>Captured Nightmare</t>
  </si>
  <si>
    <t>夜刈</t>
  </si>
  <si>
    <t>重型武器</t>
    <phoneticPr fontId="7" type="noConversion"/>
  </si>
  <si>
    <t>被捕獲的靈魂</t>
  </si>
  <si>
    <t>Captured Soul</t>
  </si>
  <si>
    <t>麗瑤的鎮伏杵</t>
  </si>
  <si>
    <t>武杖</t>
    <phoneticPr fontId="7" type="noConversion"/>
  </si>
  <si>
    <t>Cartographer's Toolkit</t>
    <phoneticPr fontId="7" type="noConversion"/>
  </si>
  <si>
    <t>繪圖師的工具箱</t>
  </si>
  <si>
    <t>海濱行者</t>
  </si>
  <si>
    <t>靴子</t>
    <phoneticPr fontId="7" type="noConversion"/>
  </si>
  <si>
    <t>教徒之血</t>
  </si>
  <si>
    <t>Cultist Blood</t>
  </si>
  <si>
    <t>血魔法之匕</t>
  </si>
  <si>
    <t>匕首</t>
    <phoneticPr fontId="7" type="noConversion"/>
  </si>
  <si>
    <t>Defiled Doll</t>
  </si>
  <si>
    <t>被褻瀆的人偶</t>
  </si>
  <si>
    <t>惡怨</t>
  </si>
  <si>
    <t>咒物</t>
    <phoneticPr fontId="7" type="noConversion"/>
  </si>
  <si>
    <t>A4 銀光尖塔第一層 污穢的凱辛德菈</t>
    <phoneticPr fontId="7" type="noConversion"/>
  </si>
  <si>
    <t>惡魔皮囊</t>
  </si>
  <si>
    <t>Demon Skin</t>
  </si>
  <si>
    <t>惡魔之革</t>
  </si>
  <si>
    <t>套裝</t>
    <phoneticPr fontId="7" type="noConversion"/>
  </si>
  <si>
    <t>Element of Celerity</t>
  </si>
  <si>
    <t>迅疾元素</t>
  </si>
  <si>
    <t>瞬戰腰帶</t>
  </si>
  <si>
    <t>腰帶</t>
    <phoneticPr fontId="7" type="noConversion"/>
  </si>
  <si>
    <t>Essence of the Twin Seas</t>
  </si>
  <si>
    <t>雙子海精華</t>
  </si>
  <si>
    <t>克里森船長的飾衣</t>
  </si>
  <si>
    <t>A1 黑谷礦坑 剃刃嘴
A1 卡爾蒂姆下水道 月牙·恐鯊</t>
    <phoneticPr fontId="7" type="noConversion"/>
  </si>
  <si>
    <t>Eternal Power Capsule</t>
  </si>
  <si>
    <t>恆能容器</t>
  </si>
  <si>
    <t>秘法星刺</t>
  </si>
  <si>
    <t>弩</t>
    <phoneticPr fontId="7" type="noConversion"/>
  </si>
  <si>
    <t>A1 歡樂谷 Evil Oliver</t>
    <phoneticPr fontId="7" type="noConversion"/>
  </si>
  <si>
    <t>亡者之眼</t>
  </si>
  <si>
    <t>Eyes of the Dead</t>
  </si>
  <si>
    <t>亡者之戰</t>
  </si>
  <si>
    <t>雙手重型武器</t>
    <phoneticPr fontId="7" type="noConversion"/>
  </si>
  <si>
    <t>Frozen Blood</t>
  </si>
  <si>
    <t>霜凍之血</t>
  </si>
  <si>
    <t>烏塔之咆哮</t>
  </si>
  <si>
    <t>斧</t>
    <phoneticPr fontId="7" type="noConversion"/>
  </si>
  <si>
    <t>？</t>
    <phoneticPr fontId="7" type="noConversion"/>
  </si>
  <si>
    <t>閃耀秘礦</t>
  </si>
  <si>
    <t>Glowing Ore</t>
  </si>
  <si>
    <t>宇宙縮影</t>
  </si>
  <si>
    <t>法器</t>
    <phoneticPr fontId="7" type="noConversion"/>
  </si>
  <si>
    <t>Griswold's Scribblings</t>
  </si>
  <si>
    <t>格里斯瓦德的完美傑作</t>
  </si>
  <si>
    <t>劍</t>
    <phoneticPr fontId="7" type="noConversion"/>
  </si>
  <si>
    <t>各章节書架，或其他可掉落軼聞書的物品</t>
    <phoneticPr fontId="7" type="noConversion"/>
  </si>
  <si>
    <t>銀狼握柄</t>
  </si>
  <si>
    <t>金色煞星</t>
  </si>
  <si>
    <t>連枷</t>
    <phoneticPr fontId="7" type="noConversion"/>
  </si>
  <si>
    <t>Hilt of the Silver Wolf</t>
  </si>
  <si>
    <t>Human Cartilage</t>
  </si>
  <si>
    <t>人體軟骨</t>
  </si>
  <si>
    <t>屍身之牆</t>
  </si>
  <si>
    <t>盾</t>
    <phoneticPr fontId="7" type="noConversion"/>
  </si>
  <si>
    <t>鐵狼衛隊軍規</t>
  </si>
  <si>
    <t>Iron Wolves Doctrine</t>
  </si>
  <si>
    <t>艾席拉的戰衣</t>
  </si>
  <si>
    <t>生命烈焰</t>
  </si>
  <si>
    <t>燼焰翻騰</t>
  </si>
  <si>
    <t>雙手斧</t>
    <phoneticPr fontId="7" type="noConversion"/>
  </si>
  <si>
    <t>Living Flame</t>
  </si>
  <si>
    <t>A4 銀光尖塔第二層 騷索
A4 銀光尖塔第二層 羅凱</t>
    <phoneticPr fontId="7" type="noConversion"/>
  </si>
  <si>
    <t>Lyekurn's Diary</t>
  </si>
  <si>
    <t>萊庫恩的日誌</t>
  </si>
  <si>
    <t>腐化</t>
    <phoneticPr fontId="7" type="noConversion"/>
  </si>
  <si>
    <t>護肩</t>
    <phoneticPr fontId="7" type="noConversion"/>
  </si>
  <si>
    <t>A3 阿茲莫丹</t>
    <phoneticPr fontId="7" type="noConversion"/>
  </si>
  <si>
    <t>Maghda's Tormented Soul</t>
  </si>
  <si>
    <t>瑪格妲的苦痛之魂</t>
  </si>
  <si>
    <t>凱恩的天命</t>
  </si>
  <si>
    <t>A2 瑪格妲</t>
    <phoneticPr fontId="7" type="noConversion"/>
  </si>
  <si>
    <t>神秘源能</t>
  </si>
  <si>
    <t>智者之旅</t>
  </si>
  <si>
    <t>Mystical Source</t>
  </si>
  <si>
    <t>A1 歡樂谷 夜光閃閃</t>
    <phoneticPr fontId="7" type="noConversion"/>
  </si>
  <si>
    <t>Phial of Weakness</t>
  </si>
  <si>
    <t>孱弱之瓶</t>
  </si>
  <si>
    <t>魔萎之凋</t>
  </si>
  <si>
    <t>魔杖</t>
    <phoneticPr fontId="7" type="noConversion"/>
  </si>
  <si>
    <t>A3 戰場 懼握
A3 戰場 防守醫療站 爪顎</t>
    <phoneticPr fontId="7" type="noConversion"/>
  </si>
  <si>
    <t>撼震之瓶</t>
  </si>
  <si>
    <t>Quaking Vial</t>
  </si>
  <si>
    <t>滅破</t>
  </si>
  <si>
    <t>奪魂者之懼</t>
  </si>
  <si>
    <t>奪魂者裹腕</t>
  </si>
  <si>
    <t>護腕</t>
    <phoneticPr fontId="7" type="noConversion"/>
  </si>
  <si>
    <t>Rydraelm Tome</t>
  </si>
  <si>
    <t>萊德姆之書</t>
  </si>
  <si>
    <t>萊德姆之氅</t>
  </si>
  <si>
    <t>胸甲</t>
    <phoneticPr fontId="7" type="noConversion"/>
  </si>
  <si>
    <t>Reaper's Fear</t>
    <phoneticPr fontId="7" type="noConversion"/>
  </si>
  <si>
    <t>安茲提格鎧甲碎片</t>
  </si>
  <si>
    <t>奧吉德的威勢</t>
  </si>
  <si>
    <t>Shard of Entsteig Plate</t>
  </si>
  <si>
    <t>A1 被褻瀆的墓穴 夫人的遺骸 登海德領主
A1 腐潰之林 費可拉爾的鬼魂
A2 卡爾蒂姆下水道 納古勒之影
A2 未知深境 秘庫管理員</t>
    <phoneticPr fontId="7" type="noConversion"/>
  </si>
  <si>
    <t>碎裂之核</t>
  </si>
  <si>
    <t>壞滅</t>
  </si>
  <si>
    <t>雙手釘鎚</t>
    <phoneticPr fontId="7" type="noConversion"/>
  </si>
  <si>
    <t>釘鎚</t>
  </si>
  <si>
    <t>Shattered Core</t>
    <phoneticPr fontId="7" type="noConversion"/>
  </si>
  <si>
    <t>閃耀尖刺</t>
  </si>
  <si>
    <t>狂放之矢</t>
  </si>
  <si>
    <t>弓</t>
    <phoneticPr fontId="7" type="noConversion"/>
  </si>
  <si>
    <t>Shimmering Quill</t>
  </si>
  <si>
    <t>震顫魔骨</t>
  </si>
  <si>
    <t>上級惡魔之箭</t>
  </si>
  <si>
    <t>箭筒</t>
    <phoneticPr fontId="7" type="noConversion"/>
  </si>
  <si>
    <t>Shuddering Demon Bone</t>
  </si>
  <si>
    <t>Skelon's Dice</t>
  </si>
  <si>
    <t>斯卡倫的骰子</t>
  </si>
  <si>
    <t>斯卡倫的狡詐</t>
  </si>
  <si>
    <t>褲子</t>
    <phoneticPr fontId="7" type="noConversion"/>
  </si>
  <si>
    <t>Skull of Raylend</t>
  </si>
  <si>
    <t>雷藍德的頭骨</t>
  </si>
  <si>
    <t>統轄頭盔</t>
  </si>
  <si>
    <t>頭盔</t>
    <phoneticPr fontId="7" type="noConversion"/>
  </si>
  <si>
    <t>A3 要塞下層第二層 Bholen</t>
    <phoneticPr fontId="7" type="noConversion"/>
  </si>
  <si>
    <t>西德魯之骨</t>
  </si>
  <si>
    <t>西德魯骨弓</t>
  </si>
  <si>
    <t>Sydyru Bone</t>
  </si>
  <si>
    <t>守護者的徽記</t>
  </si>
  <si>
    <t>守護者的險境</t>
  </si>
  <si>
    <t>Symbol of the Guardian Brotherhood</t>
    <phoneticPr fontId="7" type="noConversion"/>
  </si>
  <si>
    <t>A3 石壘 強棍打臉
A3 石壘 耐心等待增援 德古斯
A3 要塞下層第二層 粉碎者
A3 拉基斯路口 瘋狂的攀爬者 布索</t>
    <phoneticPr fontId="7" type="noConversion"/>
  </si>
  <si>
    <t>撕裂之魂</t>
  </si>
  <si>
    <t>活影之誓</t>
  </si>
  <si>
    <t>祭祀刀</t>
    <phoneticPr fontId="7" type="noConversion"/>
  </si>
  <si>
    <t>Torn Soul</t>
    <phoneticPr fontId="7" type="noConversion"/>
  </si>
  <si>
    <t>生機之甕</t>
  </si>
  <si>
    <t>Urn of Quickening</t>
    <phoneticPr fontId="7" type="noConversion"/>
  </si>
  <si>
    <t>凱薩斯的腕甲</t>
  </si>
  <si>
    <t>A3 殺戮戰場 霜寒洞窟第二層 豹女奇塔拉
A3 殺戮戰場 霜寒洞窟第二層 Scathach the Savage</t>
    <phoneticPr fontId="7" type="noConversion"/>
  </si>
  <si>
    <t>白橡木的碎片</t>
  </si>
  <si>
    <t>White Oak Splinter</t>
    <phoneticPr fontId="7" type="noConversion"/>
  </si>
  <si>
    <t>拉茲普汀之力</t>
  </si>
  <si>
    <t>木樁</t>
  </si>
  <si>
    <t>閃擊矢弩</t>
  </si>
  <si>
    <t>弩槍</t>
    <phoneticPr fontId="7" type="noConversion"/>
  </si>
  <si>
    <t>Wooden Stake</t>
    <phoneticPr fontId="7" type="noConversion"/>
  </si>
  <si>
    <t>編織網板</t>
  </si>
  <si>
    <t>聖教軍盾牌</t>
    <phoneticPr fontId="7" type="noConversion"/>
  </si>
  <si>
    <t>Woven Plate</t>
    <phoneticPr fontId="7" type="noConversion"/>
  </si>
  <si>
    <t>A1 腐潰之林 先祖的最後一戰 恩美爾卡
A3 要塞下層第一層 亞當唐恩隊長</t>
    <phoneticPr fontId="7" type="noConversion"/>
  </si>
  <si>
    <t>中文名</t>
    <phoneticPr fontId="7" type="noConversion"/>
  </si>
  <si>
    <t>英文名</t>
    <phoneticPr fontId="7" type="noConversion"/>
  </si>
  <si>
    <t>鍛造裝備</t>
    <phoneticPr fontId="7" type="noConversion"/>
  </si>
  <si>
    <t>鍛造位置</t>
    <phoneticPr fontId="7" type="noConversion"/>
  </si>
  <si>
    <t>怪物類型</t>
    <phoneticPr fontId="7" type="noConversion"/>
  </si>
  <si>
    <r>
      <t>皮羅</t>
    </r>
    <r>
      <rPr>
        <sz val="10"/>
        <rFont val="MingLiU"/>
        <family val="3"/>
        <charset val="136"/>
      </rPr>
      <t>‧</t>
    </r>
    <r>
      <rPr>
        <sz val="10"/>
        <rFont val="宋体"/>
        <family val="3"/>
        <charset val="134"/>
      </rPr>
      <t>瑪瑞拉</t>
    </r>
  </si>
  <si>
    <t>格里斯瓦德的潦草筆記</t>
    <phoneticPr fontId="7" type="noConversion"/>
  </si>
  <si>
    <t>传奇锻造材料掉落表</t>
    <phoneticPr fontId="7" type="noConversion"/>
  </si>
  <si>
    <t>A4 腐化的天使
A4 天翼橋 衣卒爾</t>
    <phoneticPr fontId="7" type="noConversion"/>
  </si>
  <si>
    <t>A1 李奧瑞克宅邸 邪惡的克萊倫
A2 奧卡納斯之路 葉什</t>
    <phoneticPr fontId="7" type="noConversion"/>
  </si>
  <si>
    <t>黑暗召喚師
狂暴魔狼</t>
    <phoneticPr fontId="7" type="noConversion"/>
  </si>
  <si>
    <t>A3 要塞下層第二層 恐怖的阿若希斯</t>
    <phoneticPr fontId="7" type="noConversion"/>
  </si>
  <si>
    <t>A1 腐潰之林 永恆之戰 恩奇杜
A3 拉基斯路口 烈火榮耀 拉瓦林斯
A3 譴罪之塔第一層 茍烈許</t>
    <phoneticPr fontId="7" type="noConversion"/>
  </si>
  <si>
    <t>食屍鬼
烈火食屍鬼</t>
    <phoneticPr fontId="7" type="noConversion"/>
  </si>
  <si>
    <t>A1 苦痛刑牢第一層 邪教大審判官
A2 奧卡納斯 大祭司穆朵斯
A2 奧卡納斯 教士鳩羅</t>
    <phoneticPr fontId="7" type="noConversion"/>
  </si>
  <si>
    <t>精神錯亂的教徒</t>
    <phoneticPr fontId="7" type="noConversion"/>
  </si>
  <si>
    <t>地獄女巫</t>
    <phoneticPr fontId="7" type="noConversion"/>
  </si>
  <si>
    <t>A3 亞瑞特地核 兇斧斷
A3 遣罪之塔第一層 哈克斬
A4 希望園圃第一階 卡騰
A4 希望園圃第二階 銳爪</t>
    <phoneticPr fontId="7" type="noConversion"/>
  </si>
  <si>
    <t>兇暴移行獸</t>
    <phoneticPr fontId="7" type="noConversion"/>
  </si>
  <si>
    <t>兇暴移行獸
裝甲破壞魔</t>
    <phoneticPr fontId="7" type="noConversion"/>
  </si>
  <si>
    <t>A1 悲泣荒原 疥癬
A1 悲慘之原 荒棄農場 穴居怒魔
A1 悲慘之原 恐爪躍行魔
A1 南部高地 瞭望塔 被食腐兽偷走的剑鞘 破甲者</t>
    <phoneticPr fontId="7" type="noConversion"/>
  </si>
  <si>
    <t>穴居躍行魔</t>
    <phoneticPr fontId="7" type="noConversion"/>
  </si>
  <si>
    <t>沙丘鉅尾蜥</t>
    <phoneticPr fontId="7" type="noConversion"/>
  </si>
  <si>
    <t>娃娃熊</t>
    <phoneticPr fontId="7" type="noConversion"/>
  </si>
  <si>
    <r>
      <t>A1 李奧瑞克密道 斬首者
A1 大教堂第二層 梅里恩</t>
    </r>
    <r>
      <rPr>
        <sz val="10"/>
        <rFont val="MingLiU"/>
        <family val="3"/>
        <charset val="136"/>
      </rPr>
      <t>‧</t>
    </r>
    <r>
      <rPr>
        <sz val="10"/>
        <rFont val="宋体"/>
        <family val="3"/>
        <charset val="134"/>
      </rPr>
      <t>顱棘</t>
    </r>
    <phoneticPr fontId="7" type="noConversion"/>
  </si>
  <si>
    <t>骷髏</t>
    <phoneticPr fontId="7" type="noConversion"/>
  </si>
  <si>
    <t>A3 亞瑞特巨坑第一層 嗥牙</t>
    <phoneticPr fontId="7" type="noConversion"/>
  </si>
  <si>
    <t>沉淪魔地獄犬</t>
    <phoneticPr fontId="7" type="noConversion"/>
  </si>
  <si>
    <t>A1 被腐朽的墓穴第二層 裂喉
A1 苦痛刑牢第二層 需要幫助的陌生人 苦痛巨屍</t>
    <phoneticPr fontId="7" type="noConversion"/>
  </si>
  <si>
    <t>屍魔</t>
    <phoneticPr fontId="7" type="noConversion"/>
  </si>
  <si>
    <t>A2 達厄古綠洲 斯撒拉斯</t>
    <phoneticPr fontId="7" type="noConversion"/>
  </si>
  <si>
    <t>盤蛇法師</t>
    <phoneticPr fontId="7" type="noConversion"/>
  </si>
  <si>
    <t>魔虜焚火師</t>
    <phoneticPr fontId="7" type="noConversion"/>
  </si>
  <si>
    <t>食腐獸
穴居躍行魔</t>
    <phoneticPr fontId="7" type="noConversion"/>
  </si>
  <si>
    <t>Boss</t>
    <phoneticPr fontId="7" type="noConversion"/>
  </si>
  <si>
    <t>Boss</t>
    <phoneticPr fontId="7" type="noConversion"/>
  </si>
  <si>
    <t>粉彩虹獨角獸</t>
    <phoneticPr fontId="7" type="noConversion"/>
  </si>
  <si>
    <t>瘟疫使者</t>
    <phoneticPr fontId="7" type="noConversion"/>
  </si>
  <si>
    <t xml:space="preserve">A4 希望園圃第二階 地獄之門 大鎚
A4 希望園圃第二階 地獄之門 錘擊 </t>
    <phoneticPr fontId="7" type="noConversion"/>
  </si>
  <si>
    <t>巨拳領主</t>
    <phoneticPr fontId="7" type="noConversion"/>
  </si>
  <si>
    <t>A2 達厄古綠洲 阿擅谷
A2 達厄古綠洲 巴希歐克</t>
    <phoneticPr fontId="7" type="noConversion"/>
  </si>
  <si>
    <t>沉淪魔薩滿</t>
    <phoneticPr fontId="7" type="noConversion"/>
  </si>
  <si>
    <t>狂怒幽靈
陰森亡靈</t>
    <phoneticPr fontId="7" type="noConversion"/>
  </si>
  <si>
    <t>A2 達厄古綠洲 遺忘廢墟 遠古守護者
A2 未知深境 羅古特</t>
    <phoneticPr fontId="7" type="noConversion"/>
  </si>
  <si>
    <t>沙居岩像
岩石巨人</t>
    <phoneticPr fontId="7" type="noConversion"/>
  </si>
  <si>
    <t>A4 希望園圃第二階 葛安
A4 希望園圃第二階 奧塔旭</t>
    <phoneticPr fontId="7" type="noConversion"/>
  </si>
  <si>
    <t>魔虜入侵者</t>
    <phoneticPr fontId="7" type="noConversion"/>
  </si>
  <si>
    <t>A4 希望園圃第一階 炬燃
A5 Battlefields of Eternity Emikdeva
A5 Battlefields of Eternity Korchoroth</t>
    <phoneticPr fontId="7" type="noConversion"/>
  </si>
  <si>
    <t>殘虐魔</t>
    <phoneticPr fontId="7" type="noConversion"/>
  </si>
  <si>
    <t>殘虐魔</t>
    <phoneticPr fontId="7" type="noConversion"/>
  </si>
  <si>
    <t>A1 大教堂第一層 滑翼
A1 大教堂第二層 催火狂魔
A1 悲慘之原 飛蝠農場 镰牙
A2 未知深境 地獄吼</t>
    <phoneticPr fontId="7" type="noConversion"/>
  </si>
  <si>
    <t>兇殘妖蝠</t>
    <phoneticPr fontId="7" type="noConversion"/>
  </si>
  <si>
    <t>食腐蝙蝠
瘟疫飛蝠
兇殘妖蝠</t>
    <phoneticPr fontId="7" type="noConversion"/>
  </si>
  <si>
    <t>惡魔突擊兵
恶魔袭击者</t>
    <phoneticPr fontId="7" type="noConversion"/>
  </si>
  <si>
    <t>A1 南部高地 強兵駱扎克
A1 南部高地 司凱林拉斯</t>
    <phoneticPr fontId="7" type="noConversion"/>
  </si>
  <si>
    <t>暗月族薩滿</t>
    <phoneticPr fontId="7" type="noConversion"/>
  </si>
  <si>
    <t>暗月族薩滿</t>
    <phoneticPr fontId="7" type="noConversion"/>
  </si>
  <si>
    <t>鼕禍女獵手</t>
    <phoneticPr fontId="7" type="noConversion"/>
  </si>
  <si>
    <t>骷髏圓盾兵
骷髏掠奪者</t>
    <phoneticPr fontId="7" type="noConversion"/>
  </si>
  <si>
    <t>腐化的天使
Boss</t>
    <phoneticPr fontId="7" type="noConversion"/>
  </si>
  <si>
    <t>掉落怪物</t>
    <phoneticPr fontId="7" type="noConversion"/>
  </si>
  <si>
    <t>[img]http://media.blizzard.com/d3/icons/items/large/craftingreagent_legendary_unique_mighty_2h_012_x1_demonhunter_male.png[/img]</t>
    <phoneticPr fontId="7" type="noConversion"/>
  </si>
  <si>
    <t>[img]http://media.blizzard.com/d3/icons/items/large/craftingreagent_legendary_unique_shield_011_x1_demonhunter_male.png[/img]</t>
    <phoneticPr fontId="7" type="noConversion"/>
  </si>
  <si>
    <t>[img]http://media.blizzard.com/d3/icons/items/large/craftingreagent_legendary_unique_gloves_001_x1_demonhunter_male.png[/img]</t>
    <phoneticPr fontId="7" type="noConversion"/>
  </si>
  <si>
    <t>[img]http://media.blizzard.com/d3/icons/items/large/craftingreagent_legendary_set_borns_x1_demonhunter_male.png[/img]</t>
    <phoneticPr fontId="7" type="noConversion"/>
  </si>
  <si>
    <t>[img]http://media.blizzard.com/d3/icons/items/large/craftingreagent_legendary_set_hallowed_x1_demonhunter_male.png[/img]</t>
    <phoneticPr fontId="7" type="noConversion"/>
  </si>
  <si>
    <t>[img]http://media.blizzard.com/d3/icons/items/large/craftingreagent_legendary_unique_bracer_103_x1_demonhunter_male.png[/img]</t>
    <phoneticPr fontId="7" type="noConversion"/>
  </si>
  <si>
    <t>[img]http://media.blizzard.com/d3/icons/items/large/craftingreagent_legendary_unique_wand_009_x1_demonhunter_male.png[/img]</t>
    <phoneticPr fontId="7" type="noConversion"/>
  </si>
  <si>
    <t>[img]http://media.blizzard.com/d3/icons/items/large/craftingreagent_legendary_set_guardian_x1_demonhunter_male.png[/img]</t>
    <phoneticPr fontId="7" type="noConversion"/>
  </si>
  <si>
    <t>[img]http://media.blizzard.com/d3/icons/items/large/craftingreagent_legendary_set_aughild_x1_demonhunter_male.png[/img]</t>
    <phoneticPr fontId="7" type="noConversion"/>
  </si>
  <si>
    <t>[img]http://media.blizzard.com/d3/icons/items/large/craftingreagent_legendary_unique_xbow_004_x1_demonhunter_male.png[/img]</t>
    <phoneticPr fontId="7" type="noConversion"/>
  </si>
  <si>
    <t>[img]http://media.blizzard.com/d3/icons/items/large/craftingreagent_legendary_set_demon_x1_demonhunter_male.png[/img]</t>
    <phoneticPr fontId="7" type="noConversion"/>
  </si>
  <si>
    <t>[img]http://media.blizzard.com/d3/icons/items/large/craftingreagent_legendary_unique_ceremonialdagger_006_x1_demonhunter_male.png[/img]</t>
    <phoneticPr fontId="7" type="noConversion"/>
  </si>
  <si>
    <t>[img]http://media.blizzard.com/d3/icons/items/large/craftingreagent_legendary_unique_mace_2h_006_x1_demonhunter_male.png[/img]</t>
    <phoneticPr fontId="7" type="noConversion"/>
  </si>
  <si>
    <t>[img]http://media.blizzard.com/d3/icons/items/large/craftingreagent_legendary_unique_dagger_006_x1_demonhunter_male.png[/img]</t>
    <phoneticPr fontId="7" type="noConversion"/>
  </si>
  <si>
    <t>[img]http://media.blizzard.com/d3/icons/items/large/craftingreagent_legendary_unique_pants_005_x1_demonhunter_male.png[/img]</t>
    <phoneticPr fontId="7" type="noConversion"/>
  </si>
  <si>
    <t>[img]http://media.blizzard.com/d3/icons/items/large/craftingreagent_legendary_unique_handxbow_006_x1_demonhunter_male.png[/img]</t>
    <phoneticPr fontId="7" type="noConversion"/>
  </si>
  <si>
    <t>[img]http://media.blizzard.com/d3/icons/items/large/craftingreagent_legendary_unique_fist_004_x1_demonhunter_male.png[/img]</t>
    <phoneticPr fontId="7" type="noConversion"/>
  </si>
  <si>
    <t>[img]http://media.blizzard.com/d3/icons/items/large/craftingreagent_legendary_unique_sword_1h_019_x1_demonhunter_male.png[/img]</t>
    <phoneticPr fontId="7" type="noConversion"/>
  </si>
  <si>
    <t>[img]http://media.blizzard.com/d3/icons/items/large/craftingreagent_legendary_set_cains_x1_demonhunter_male.png[/img]</t>
    <phoneticPr fontId="7" type="noConversion"/>
  </si>
  <si>
    <t>[img]http://media.blizzard.com/d3/icons/items/large/craftingreagent_legendary_unique_axe_2h_010_x1_demonhunter_male.png[/img]</t>
    <phoneticPr fontId="7" type="noConversion"/>
  </si>
  <si>
    <t>[img]http://media.blizzard.com/d3/icons/items/large/craftingreagent_legendary_unique_bracer_001_x1_demonhunter_male.png[/img]</t>
    <phoneticPr fontId="7" type="noConversion"/>
  </si>
  <si>
    <t>[img]http://media.blizzard.com/d3/icons/items/large/craftingreagent_legendary_unique_combatstaff_2h_004_x1_demonhunter_male.png[/img]</t>
    <phoneticPr fontId="7" type="noConversion"/>
  </si>
  <si>
    <t>[img]http://media.blizzard.com/d3/icons/items/large/craftingreagent_legendary_unique_mace_1h_009_x1_demonhunter_male.png[/img]</t>
    <phoneticPr fontId="7" type="noConversion"/>
  </si>
  <si>
    <t>[img]http://media.blizzard.com/d3/icons/items/large/craftingreagent_legendary_set_sage_x1_demonhunter_male.png[/img]</t>
    <phoneticPr fontId="7" type="noConversion"/>
  </si>
  <si>
    <t>[img]http://media.blizzard.com/d3/icons/items/large/craftingreagent_legendary_unique_crushield_101_x1_demonhunter_male.png[/img]</t>
    <phoneticPr fontId="7" type="noConversion"/>
  </si>
  <si>
    <t>[img]http://media.blizzard.com/d3/icons/items/large/craftingreagent_legendary_unique_boots_005_x1_demonhunter_male.png[/img]</t>
    <phoneticPr fontId="7" type="noConversion"/>
  </si>
  <si>
    <t>[img]http://media.blizzard.com/d3/icons/items/large/craftingreagent_legendary_unique_shoulder_007_x1_demonhunter_male.png[/img]</t>
    <phoneticPr fontId="7" type="noConversion"/>
  </si>
  <si>
    <t>[img]http://media.blizzard.com/d3/icons/items/large/craftingreagent_legendary_unique_chest_019_x1_demonhunter_male.png[/img]</t>
    <phoneticPr fontId="7" type="noConversion"/>
  </si>
  <si>
    <t>[img]http://media.blizzard.com/d3/icons/items/large/craftingreagent_legendary_unique_mighty_1h_001_x1_demonhunter_male.png[/img]</t>
    <phoneticPr fontId="7" type="noConversion"/>
  </si>
  <si>
    <t>[img]http://media.blizzard.com/d3/icons/items/large/craftingreagent_legendary_unique_combatstaff_2h_008_x1_demonhunter_male.png[/img]</t>
    <phoneticPr fontId="7" type="noConversion"/>
  </si>
  <si>
    <t>[img]http://media.blizzard.com/d3/icons/items/large/craftingreagent_legendary_unique_mojo_002_x1_demonhunter_male.png[/img]</t>
    <phoneticPr fontId="7" type="noConversion"/>
  </si>
  <si>
    <t>[img]http://media.blizzard.com/d3/icons/items/large/craftingreagent_legendary_unique_bow_010_x1_demonhunter_male.png[/img]</t>
    <phoneticPr fontId="7" type="noConversion"/>
  </si>
  <si>
    <t>[img]http://media.blizzard.com/d3/icons/items/large/craftingreagent_legendary_unique_staff_002_x1_demonhunter_male.png[/img]</t>
    <phoneticPr fontId="7" type="noConversion"/>
  </si>
  <si>
    <t>[img]http://media.blizzard.com/d3/icons/items/large/craftingreagent_legendary_unique_belt_004_x1_demonhunter_male.png[/img]</t>
    <phoneticPr fontId="7" type="noConversion"/>
  </si>
  <si>
    <t>[img]http://media.blizzard.com/d3/icons/items/large/craftingreagent_legendary_unique_flail_1h_101_x1_demonhunter_male.png[/img]</t>
    <phoneticPr fontId="7" type="noConversion"/>
  </si>
  <si>
    <t>[img]http://media.blizzard.com/d3/icons/items/large/craftingreagent_legendary_set_asheara_x1_demonhunter_male.png[/img]</t>
    <phoneticPr fontId="7" type="noConversion"/>
  </si>
  <si>
    <t>[img]http://media.blizzard.com/d3/icons/items/large/craftingreagent_legendary_unique_bow_007_x1_demonhunter_male.png[/img]</t>
    <phoneticPr fontId="7" type="noConversion"/>
  </si>
  <si>
    <t>[img]http://media.blizzard.com/d3/icons/items/large/craftingreagent_legendary_unique_orb_004_x1_demonhunter_male.png[/img]</t>
    <phoneticPr fontId="7" type="noConversion"/>
  </si>
  <si>
    <t>[img]http://media.blizzard.com/d3/icons/items/large/craftingreagent_legendary_set_captaincrimsons_x1_demonhunter_male.png[/img]</t>
    <phoneticPr fontId="7" type="noConversion"/>
  </si>
  <si>
    <t>[img]http://media.blizzard.com/d3/icons/items/large/craftingreagent_legendary_unique_helm_011_x1_demonhunter_male.png[/img]</t>
    <phoneticPr fontId="7" type="noConversion"/>
  </si>
  <si>
    <t>[img]http://media.blizzard.com/d3/icons/items/large/craftingreagent_legendary_unique_quiver_003_x1_demonhunter_male.png[/img]</t>
    <phoneticPr fontId="7" type="noConversion"/>
  </si>
  <si>
    <t>[img]http://media.blizzard.com/d3/icons/items/large/craftingreagent_legendary_unique_axe_1h_004_x1_demonhunter_male.png[/img]</t>
    <phoneticPr fontId="7" type="noConversion"/>
  </si>
  <si>
    <t>示意图</t>
    <phoneticPr fontId="7" type="noConversion"/>
  </si>
  <si>
    <t>霜凍之血</t>
    <phoneticPr fontId="7" type="noConversion"/>
  </si>
  <si>
    <t>A3 殺戮戰場 霜寒洞窟第二層 豹女奇塔拉</t>
    <phoneticPr fontId="7" type="noConversion"/>
  </si>
  <si>
    <t>黑暗召喚師
狂暴魔狼</t>
    <phoneticPr fontId="7" type="noConversion"/>
  </si>
  <si>
    <t>其他可能的掉落源</t>
    <phoneticPr fontId="7" type="noConversion"/>
  </si>
  <si>
    <t>撕魂獸</t>
    <phoneticPr fontId="7" type="noConversion"/>
  </si>
  <si>
    <t>Angel_Corrupt_A:腐化的天使/Corrupted Angel</t>
    <phoneticPr fontId="7" type="noConversion"/>
  </si>
  <si>
    <t>SoulRipper_A:撕魂獸/Soul Ripper</t>
    <phoneticPr fontId="7" type="noConversion"/>
  </si>
  <si>
    <t>食屍鬼
烈火食屍鬼</t>
    <phoneticPr fontId="7" type="noConversion"/>
  </si>
  <si>
    <t>Ghoul_A:食屍鬼/Ghoul
Ghoul_B:殺狂魔/Murderous Fiend
Ghoul_E:烈火食屍鬼/Blazing Ghoul</t>
    <phoneticPr fontId="7" type="noConversion"/>
  </si>
  <si>
    <t>Succubus_A_Unique_01:蓮瑟/Lianthe
Succubus_A_Unique_02:邪惡的迪蒙妮卡/Demonika the Wicked</t>
    <phoneticPr fontId="7" type="noConversion"/>
  </si>
  <si>
    <t>兇暴移行獸
裝甲破壞魔</t>
    <phoneticPr fontId="7" type="noConversion"/>
  </si>
  <si>
    <t xml:space="preserve">azmodanBodyguard_A_Unique_02:磺石裂/Brimstone
</t>
    <phoneticPr fontId="7" type="noConversion"/>
  </si>
  <si>
    <t>azmodanBodyguard_A:兇暴移行獸/Hulking Phasebeast
CoreEliteDemon_A:裝甲破壞魔/Armored Destroyer
CoreEliteDemon_A_NoPod:裝甲破壞魔/Armored Destroyer</t>
    <phoneticPr fontId="7" type="noConversion"/>
  </si>
  <si>
    <t>食腐獸
穴居躍行魔</t>
    <phoneticPr fontId="7" type="noConversion"/>
  </si>
  <si>
    <t>Scavenger_A:食腐獸/Scavenger
Scavenger_B:穴居躍行魔/Burrowing Leaper</t>
    <phoneticPr fontId="7" type="noConversion"/>
  </si>
  <si>
    <t>沙丘巨尾蜥</t>
    <phoneticPr fontId="7" type="noConversion"/>
  </si>
  <si>
    <t>沙丘巨尾蜥</t>
    <phoneticPr fontId="7" type="noConversion"/>
  </si>
  <si>
    <t>SandShark_A:沙丘巨尾蜥/Dune Thresher</t>
    <phoneticPr fontId="7" type="noConversion"/>
  </si>
  <si>
    <t>娃娃熊</t>
    <phoneticPr fontId="7" type="noConversion"/>
  </si>
  <si>
    <t>TentacleBear_A:娃娃熊/Cuddle Bear</t>
    <phoneticPr fontId="7" type="noConversion"/>
  </si>
  <si>
    <t>王室護衛
骷髏</t>
    <phoneticPr fontId="7" type="noConversion"/>
  </si>
  <si>
    <t>Skeleton_A:骷髏/Skeleton
Skeleton_A_Cain:王室護衛/Royal Henchman
Skeleton_D_Fire:烈火舞劍者/Blazing Swordwielder</t>
    <phoneticPr fontId="7" type="noConversion"/>
  </si>
  <si>
    <t>Skeleton_A_Unique_02:管理者麥克雷/Caretaker Mccree
Skeleton_D_Fire_BlacksmithEvent_Unique:撕骨者/Boneripper</t>
    <phoneticPr fontId="7" type="noConversion"/>
  </si>
  <si>
    <t>有独特怪物的相关怪物词根</t>
    <phoneticPr fontId="7" type="noConversion"/>
  </si>
  <si>
    <t>LacuniFemale_C:冬禍女獵手/Wintersbane Huntress</t>
    <phoneticPr fontId="7" type="noConversion"/>
  </si>
  <si>
    <t>沉淪魔地獄犬</t>
    <phoneticPr fontId="7" type="noConversion"/>
  </si>
  <si>
    <t>FallenHound_D:沉淪魔地獄犬/Fallen Hellhound</t>
    <phoneticPr fontId="7" type="noConversion"/>
  </si>
  <si>
    <t>FallenHound_D_Unique_02:囓骨/Gnawbone</t>
    <phoneticPr fontId="7" type="noConversion"/>
  </si>
  <si>
    <t>屍魔</t>
    <phoneticPr fontId="7" type="noConversion"/>
  </si>
  <si>
    <t>Unburied_A:屍魔/Unburied</t>
    <phoneticPr fontId="7" type="noConversion"/>
  </si>
  <si>
    <t>Unburied_A_TMUnique_01:Jay Wilson
Unburied_A_Unique_01:康爵朗/Cudgelarm</t>
    <phoneticPr fontId="7" type="noConversion"/>
  </si>
  <si>
    <t>盤蛇法師</t>
    <phoneticPr fontId="7" type="noConversion"/>
  </si>
  <si>
    <t>SnakeMan_Caster_A:盤蛇法師/Serpent Magus</t>
    <phoneticPr fontId="7" type="noConversion"/>
  </si>
  <si>
    <t>graveRobber_ghost_A:殺手亡魂/Ghostly Murderer
or?
graveRobber_A:Brigand/古墓盜匪</t>
    <phoneticPr fontId="7" type="noConversion"/>
  </si>
  <si>
    <t>魔虜焚火師</t>
    <phoneticPr fontId="7" type="noConversion"/>
  </si>
  <si>
    <t>MorluSpellcaster_A:魔虜焚火師/Morlu Incinerator</t>
    <phoneticPr fontId="7" type="noConversion"/>
  </si>
  <si>
    <t>MorluSpellcaster_A_Unique_Sigil:「悖逆者」瑪爾菲斯/Malfeas the Abhorrent
MorluSpellcaster_A_Unique_Uber:「魔鑰守護者」薩瑞斯/Xah'Rith the Keywarden</t>
    <phoneticPr fontId="7" type="noConversion"/>
  </si>
  <si>
    <t>TentacleHorse_A:粉彩虹獨角獸/Pink Rainbow Unicorn</t>
    <phoneticPr fontId="7" type="noConversion"/>
  </si>
  <si>
    <t>TentacleHorse_A_Unique_02:莫琳索莉/Maulin Sorely
TentacleHorse_A_Unique_03:地獄小姐/Miss Hell
TentacleHorse_A_Unique_04:奇麗兒/Killaire
TentacleHorse_A_Unique_05:拉萊耶/R'Lyeh</t>
    <phoneticPr fontId="7" type="noConversion"/>
  </si>
  <si>
    <t>瘟疫使者</t>
    <phoneticPr fontId="7" type="noConversion"/>
  </si>
  <si>
    <t>creepMob_A:瘟疫使者/Herald of Pestilence</t>
    <phoneticPr fontId="7" type="noConversion"/>
  </si>
  <si>
    <t>巨拳領主</t>
    <phoneticPr fontId="7" type="noConversion"/>
  </si>
  <si>
    <t>MalletDemon_A:巨拳領主/Mallet Lord</t>
    <phoneticPr fontId="7" type="noConversion"/>
  </si>
  <si>
    <t>FallenShaman_A:沉淪魔薩滿/Fallen Shaman
FallenShaman_B:沉淪喚魔師/Fallen Conjurer</t>
    <phoneticPr fontId="7" type="noConversion"/>
  </si>
  <si>
    <t>Ghost_A:狂怒幽靈/Enraged Phantom
Ghost_D:陰森亡靈/陰森亡靈</t>
    <phoneticPr fontId="7" type="noConversion"/>
  </si>
  <si>
    <t>SandMonster_A:沙居岩像/Sand Dweller
SandMonster_B:岩石巨人/Rock Giant
SandMonster_C:沙岩巨像/Sand Behemoth</t>
    <phoneticPr fontId="7" type="noConversion"/>
  </si>
  <si>
    <t>魔虜入侵者</t>
    <phoneticPr fontId="7" type="noConversion"/>
  </si>
  <si>
    <t>MorluMelee_A:魔虜入侵者/Morlu Invader</t>
    <phoneticPr fontId="7" type="noConversion"/>
  </si>
  <si>
    <t>殘虐魔</t>
    <phoneticPr fontId="7" type="noConversion"/>
  </si>
  <si>
    <t>BigRed_A:殘虐魔/Oppressor</t>
    <phoneticPr fontId="7" type="noConversion"/>
  </si>
  <si>
    <t>FleshPitFlyer_A:食腐蝙蝠/Carrion Bat
FleshPitFlyer_B:瘟疫飛蝠/Plague Carrier
FleshPitFlyer_C:兇殘妖蝠/Savage Flyer</t>
    <phoneticPr fontId="7" type="noConversion"/>
  </si>
  <si>
    <t>FleshPitFlyer_C_Unique_01:餘火妖蝠/Emberwing</t>
    <phoneticPr fontId="7" type="noConversion"/>
  </si>
  <si>
    <t>惡魔突擊兵
惡魔掠劫者</t>
    <phoneticPr fontId="7" type="noConversion"/>
  </si>
  <si>
    <t>demonTrooper_A:惡魔突擊兵/Demon Trooper
demonTrooper_B:惡魔掠劫者/Demon Raider</t>
    <phoneticPr fontId="7" type="noConversion"/>
  </si>
  <si>
    <t>暗月族薩滿</t>
    <phoneticPr fontId="7" type="noConversion"/>
  </si>
  <si>
    <t>Goatman_Moonclan_Shaman_B:暗月族薩滿/Dark Moon Clan Shaman</t>
    <phoneticPr fontId="7" type="noConversion"/>
  </si>
  <si>
    <t>骷髏圓盾兵
骷髏掠奪者</t>
    <phoneticPr fontId="7" type="noConversion"/>
  </si>
  <si>
    <t>Shield_Skeleton_A:骷髏圓盾兵/Skeletal Shieldbearer
Shield_Skeleton_E:骷髏掠奪者/Skeletal Marauder</t>
    <phoneticPr fontId="7" type="noConversion"/>
  </si>
  <si>
    <t>以下为附加表格，普通玩家可以无视</t>
    <phoneticPr fontId="7" type="noConversion"/>
  </si>
  <si>
    <t>TriuneSummoner_A:黑暗召喚師/Dark Summoner
Triune_Summonable_D:狂暴魔狼/Frenzied Hellion</t>
    <phoneticPr fontId="7" type="noConversion"/>
  </si>
  <si>
    <t>衛斯馬屈城中區</t>
  </si>
  <si>
    <t>☆demonTrooper_A_Unique_03:磚頂/Bricktop</t>
    <phoneticPr fontId="7" type="noConversion"/>
  </si>
  <si>
    <t xml:space="preserve">☆A4 希望園圃第二階 地獄之門 大鎚
☆A4 希望園圃第二階 地獄之門 錘擊 </t>
    <phoneticPr fontId="7" type="noConversion"/>
  </si>
  <si>
    <t>☆Ghoul_A_Unique_01:厲擊/Grimsmack
Ghoul_B_Unique_01:沽瀘/Grool</t>
    <phoneticPr fontId="7" type="noConversion"/>
  </si>
  <si>
    <t>需增加</t>
    <phoneticPr fontId="7" type="noConversion"/>
  </si>
  <si>
    <t>夏那比</t>
    <phoneticPr fontId="7" type="noConversion"/>
  </si>
  <si>
    <t>Angel_Corrupt_Izual:伊卒爾的手下/Servant of Izual</t>
    <phoneticPr fontId="7" type="noConversion"/>
  </si>
  <si>
    <t>A1 悲慘之原 僻靜林地 老樹公</t>
    <phoneticPr fontId="7" type="noConversion"/>
  </si>
  <si>
    <t>樹妖</t>
    <phoneticPr fontId="7" type="noConversion"/>
  </si>
  <si>
    <t>迅疾元素</t>
    <phoneticPr fontId="7" type="noConversion"/>
  </si>
  <si>
    <t>殺手亡魂
死亡掘墓者</t>
    <phoneticPr fontId="7" type="noConversion"/>
  </si>
  <si>
    <t>原生鎧岩獸</t>
    <phoneticPr fontId="7" type="noConversion"/>
  </si>
  <si>
    <t>萊德姆之書</t>
    <phoneticPr fontId="7" type="noConversion"/>
  </si>
  <si>
    <t>被奴役的夢魘</t>
    <phoneticPr fontId="7" type="noConversion"/>
  </si>
  <si>
    <t>被捕獲的夢魘</t>
    <phoneticPr fontId="7" type="noConversion"/>
  </si>
  <si>
    <t>神秘源能</t>
    <phoneticPr fontId="7" type="noConversion"/>
  </si>
  <si>
    <t>Goatman_Moonclan_Shaman_B_Unique_MysticWagon:邪惡的納爾班/Nalghban the Foul
Goatman_Moonclan_Shaman_A_Event_Graveyard:丘帕·卡茲拉/Chupa Khazra</t>
    <phoneticPr fontId="7" type="noConversion"/>
  </si>
  <si>
    <t>痛苦的人蠍</t>
    <phoneticPr fontId="7" type="noConversion"/>
  </si>
  <si>
    <t>痛苦的人蠍
冥河毒蝎</t>
    <phoneticPr fontId="7" type="noConversion"/>
  </si>
  <si>
    <r>
      <t>graveRobber_A_Ghost_Unique_01:德魯利</t>
    </r>
    <r>
      <rPr>
        <sz val="10"/>
        <rFont val="MingLiU"/>
        <family val="3"/>
        <charset val="136"/>
      </rPr>
      <t>‧</t>
    </r>
    <r>
      <rPr>
        <sz val="10"/>
        <rFont val="宋体"/>
        <family val="3"/>
        <charset val="134"/>
      </rPr>
      <t>布朗/Drury Brown
graveRobber_A_Ghost_Unique_02:[棺材板]約翰·戈罕/John Gorham Coffin</t>
    </r>
    <phoneticPr fontId="7" type="noConversion"/>
  </si>
  <si>
    <t>SoulRipper_A_Unique_01:笞舌/Lashtongue
☆SoulRipper_A_Unique_03:笞劈/Riplash</t>
    <phoneticPr fontId="7" type="noConversion"/>
  </si>
  <si>
    <t>被捕獲的靈魂</t>
    <phoneticPr fontId="7" type="noConversion"/>
  </si>
  <si>
    <t>粉彩虹獨角獸
紫彩虹獨角獸
圓滾滾粉紅獨角獸</t>
    <phoneticPr fontId="7" type="noConversion"/>
  </si>
  <si>
    <t>FallenShaman_A_Unique01:畢亞特/Beyatt
FallenShaman_B_Water_Money:蒙登歐戈/Mundunogo</t>
    <phoneticPr fontId="7" type="noConversion"/>
  </si>
  <si>
    <t>沉淪魔薩滿</t>
    <phoneticPr fontId="7" type="noConversion"/>
  </si>
  <si>
    <t>A1 舊鎮道路 陰冷的地窖 薩科斯
A1 舊鎮道路 霉臭的地窖 Gorathra
☆A3 要塞下層第一層 棘背</t>
    <phoneticPr fontId="7" type="noConversion"/>
  </si>
  <si>
    <t>刺棘魔
冰刺脊魔</t>
    <phoneticPr fontId="7" type="noConversion"/>
  </si>
  <si>
    <t>拉库尼女獵手
冬禍女獵手
Boss</t>
    <phoneticPr fontId="7" type="noConversion"/>
  </si>
  <si>
    <t>A5</t>
    <phoneticPr fontId="7" type="noConversion"/>
  </si>
  <si>
    <t>驅魂師</t>
    <phoneticPr fontId="7" type="noConversion"/>
  </si>
  <si>
    <t>Succubus_A:魅魔/Succubus
Succubus_C:地獄女巫/Hell Witch</t>
    <phoneticPr fontId="7" type="noConversion"/>
  </si>
  <si>
    <t>魅魔
地獄女巫</t>
    <phoneticPr fontId="7" type="noConversion"/>
  </si>
  <si>
    <t>被褻瀆的人偶</t>
    <phoneticPr fontId="7" type="noConversion"/>
  </si>
  <si>
    <t>TriuneCultist_A:黑暗教徒/Dark Cultist
TriuneCultist_C:精神錯亂的教徒/Deranged Cultist</t>
    <phoneticPr fontId="7" type="noConversion"/>
  </si>
  <si>
    <t>黑暗教徒
精神錯亂的教徒</t>
    <phoneticPr fontId="7" type="noConversion"/>
  </si>
  <si>
    <t>腐化的天使
Boss
處決者</t>
    <phoneticPr fontId="7" type="noConversion"/>
  </si>
  <si>
    <t>天使碎片</t>
    <phoneticPr fontId="7" type="noConversion"/>
  </si>
  <si>
    <t>TriuneSummoner_A_Unique_01:喚魔師吉列伯/Jezeb the Conjuror
TriuneSummoner_A_Unique_SwordofJustice:先知巫瑞克/Urik The Seer</t>
    <phoneticPr fontId="7" type="noConversion"/>
  </si>
  <si>
    <t>編織網板</t>
    <phoneticPr fontId="7" type="noConversion"/>
  </si>
  <si>
    <t>博恩的秘訣</t>
    <phoneticPr fontId="7" type="noConversion"/>
  </si>
  <si>
    <t>永恆戰場</t>
  </si>
  <si>
    <t>寇佛斯入口</t>
  </si>
  <si>
    <t>最後的先祖</t>
  </si>
  <si>
    <t>古老的背袋</t>
  </si>
  <si>
    <t>摯魂儀</t>
  </si>
  <si>
    <t>瑪瑟爾的計劃</t>
  </si>
  <si>
    <t>泰瑞爾</t>
  </si>
  <si>
    <t>團長的日誌</t>
  </si>
  <si>
    <t>團長的背袋</t>
  </si>
  <si>
    <t>守財奴的遺囑</t>
  </si>
  <si>
    <t>守財奴的陋屋</t>
  </si>
  <si>
    <t>守財奴的背袋</t>
  </si>
  <si>
    <t>衛斯馬屈的靈魂</t>
  </si>
  <si>
    <t>撒卡蘭姆大教堂</t>
  </si>
  <si>
    <t>卡薩蒂雅</t>
  </si>
  <si>
    <t>厄傑爾的陷阱</t>
  </si>
  <si>
    <t>華麗的寶箱</t>
  </si>
  <si>
    <t>愛德莉雅的筆記</t>
  </si>
  <si>
    <t>混沌界要塞第二層</t>
  </si>
  <si>
    <t>智慧之道</t>
  </si>
  <si>
    <t>衛斯馬屈的歷史：第一篇</t>
  </si>
  <si>
    <t>戴安卓的背袋</t>
  </si>
  <si>
    <t>衛斯馬屈的歷史：第二篇</t>
  </si>
  <si>
    <t>衛斯馬屈的歷史：第三篇</t>
  </si>
  <si>
    <t>衛斯馬屈的歷史：第四篇</t>
  </si>
  <si>
    <t>衛斯馬屈的歷史：第五篇</t>
  </si>
  <si>
    <t>衛斯馬屈的歷史：第六篇</t>
  </si>
  <si>
    <t>衛斯馬屈的歷史：第七篇</t>
  </si>
  <si>
    <t>瘟疫地道</t>
  </si>
  <si>
    <t>逃兵的包包</t>
  </si>
  <si>
    <t>天使的卷軸</t>
  </si>
  <si>
    <t>古老的屍體</t>
  </si>
  <si>
    <t>涅法雷姆的秘境</t>
  </si>
  <si>
    <t>备注说明</t>
  </si>
  <si>
    <t>[任务]说明是有时限的，必须在这个任务中获取或进入</t>
  </si>
  <si>
    <t>[固定出现]说明每次建立游戏都一定会有</t>
  </si>
  <si>
    <t>[非固定出现]字样为随机出现，如果没有，请重新建立游戏，直到出现为止</t>
  </si>
  <si>
    <t>[固定位置]说明位置是固定的，不会出现在其他位置</t>
  </si>
  <si>
    <t>[随机事件]说明是与随机事件有关</t>
  </si>
  <si>
    <t>憤怒的亡靈</t>
  </si>
  <si>
    <t>托利佛的最後一戰</t>
  </si>
  <si>
    <t>死亡之觸</t>
  </si>
  <si>
    <t>園中漫步</t>
  </si>
  <si>
    <t>奪魂</t>
  </si>
  <si>
    <t>死於恥辱</t>
  </si>
  <si>
    <t>殺戮樓層</t>
  </si>
  <si>
    <t>擅闖民宅</t>
  </si>
  <si>
    <t>被洗劫的住家</t>
  </si>
  <si>
    <t>死靈法師的選擇</t>
  </si>
  <si>
    <t>黑暗法術迴廊</t>
  </si>
  <si>
    <t>重生的教徒</t>
  </si>
  <si>
    <t>廢棄的教徒儲藏室</t>
  </si>
  <si>
    <t>背水一戰</t>
  </si>
  <si>
    <t>走私者的舊倉庫</t>
  </si>
  <si>
    <t>拯救巡邏兵</t>
  </si>
  <si>
    <t>塔斯汀釀酒坊</t>
  </si>
  <si>
    <t>法術失靈</t>
  </si>
  <si>
    <t>法師的房間</t>
  </si>
  <si>
    <t>尋遺鉤沉</t>
  </si>
  <si>
    <t>屍骸之屋</t>
  </si>
  <si>
    <t>逃出火海</t>
  </si>
  <si>
    <t>躲貓貓</t>
  </si>
  <si>
    <t>海利隊長的家</t>
  </si>
  <si>
    <t>布萊索恩墓園</t>
  </si>
  <si>
    <t>盜墓賊羅伯特</t>
  </si>
  <si>
    <t>潘妮的請求</t>
  </si>
  <si>
    <t>墓園告急</t>
  </si>
  <si>
    <t>傷慟祭壇</t>
  </si>
  <si>
    <t>沼嶺之王</t>
  </si>
  <si>
    <t>愚者之王</t>
  </si>
  <si>
    <t>研究的難題</t>
  </si>
  <si>
    <t>火焚之人</t>
  </si>
  <si>
    <t>沼澤怪秘寶</t>
  </si>
  <si>
    <t>沼澤怪雜居地</t>
  </si>
  <si>
    <t>失落與遺忘</t>
  </si>
  <si>
    <t>曲折洞穴</t>
  </si>
  <si>
    <t>孵化室</t>
  </si>
  <si>
    <t>涅法雷姆失落的寶藏</t>
  </si>
  <si>
    <t>涅法雷姆的聖物</t>
  </si>
  <si>
    <t>黃金之間</t>
  </si>
  <si>
    <t>被遺忘在時間洪流中的戰爭</t>
  </si>
  <si>
    <t>永恆峭壁</t>
  </si>
  <si>
    <t>時光牢籠</t>
  </si>
  <si>
    <t>惡魔囚犯</t>
  </si>
  <si>
    <t>聲東擊西</t>
  </si>
  <si>
    <t>摰魂儀</t>
  </si>
  <si>
    <t>死而複生</t>
  </si>
  <si>
    <t>魔巢廢墟</t>
  </si>
  <si>
    <t>猛烈攻擊</t>
  </si>
  <si>
    <t>惡魔牢籠</t>
  </si>
  <si>
    <t>虔信之躍</t>
  </si>
  <si>
    <t>審判</t>
  </si>
  <si>
    <t>惡魔之魂</t>
  </si>
  <si>
    <t>失落的軍團</t>
  </si>
  <si>
    <t>遠古刑牢</t>
  </si>
  <si>
    <t>迫在眉睫</t>
  </si>
  <si>
    <t>水晶囚牢</t>
  </si>
  <si>
    <t>農民造反</t>
    <phoneticPr fontId="7" type="noConversion"/>
  </si>
  <si>
    <t>屠殺貴族</t>
    <phoneticPr fontId="7" type="noConversion"/>
  </si>
  <si>
    <t>Battle Tag</t>
  </si>
  <si>
    <t>服務器</t>
  </si>
  <si>
    <t>亞服</t>
  </si>
  <si>
    <t>noberz#3936</t>
  </si>
  <si>
    <t>CNMDB#1906</t>
  </si>
  <si>
    <t>美服</t>
  </si>
  <si>
    <t>桃花幻梦#1244</t>
  </si>
  <si>
    <t>lingchen#3959</t>
  </si>
  <si>
    <t>　　协助编辑：</t>
    <phoneticPr fontId="12" type="noConversion"/>
  </si>
  <si>
    <t>　　本表格历代主编：</t>
    <phoneticPr fontId="12" type="noConversion"/>
  </si>
  <si>
    <t>seekky</t>
    <phoneticPr fontId="12" type="noConversion"/>
  </si>
  <si>
    <t>　　书籍及事件部分特邀编辑：</t>
    <phoneticPr fontId="12" type="noConversion"/>
  </si>
  <si>
    <t>骷髏弓箭手
黑暗骷髏弓手</t>
    <phoneticPr fontId="7" type="noConversion"/>
  </si>
  <si>
    <t>SnakeMan_Caster_A_AdriaTorturer:拷問者葛茲圖爾/Goz'turr the Torturer
SnakeMan_Caster_A_Event_SewerSearchers:寧吉徐/Ningish
SnakeMan_Caster_A_Unique_01:毒蛇哈佐/Hazzor the Viper</t>
    <phoneticPr fontId="7" type="noConversion"/>
  </si>
  <si>
    <t>TentacleBear_A_Unique_01:嘟嘟/Tubbers</t>
    <phoneticPr fontId="7" type="noConversion"/>
  </si>
  <si>
    <t>A1 歡樂谷 坏坏熊奥利佛
A1 歡樂谷 嘟嘟</t>
    <phoneticPr fontId="7" type="noConversion"/>
  </si>
  <si>
    <t>恆能容器</t>
    <phoneticPr fontId="7" type="noConversion"/>
  </si>
  <si>
    <t>Ghost_A_Unique_02:霍桑·加寶/Hawthorne Gable
Ghost_A_Unique_Chancellor:丞相埃蒙/Chancellor Eamon
Ghost_D_FacePuzzleUnique:達卡布可汗的靈魂/Spirit of Khan Dakab
Ghost_D_GhostHuntersEvent:拉茲艾爾/Raziel
Ghost_D_Unique_01:書籍管理員/The Tomekeeper</t>
    <phoneticPr fontId="7" type="noConversion"/>
  </si>
  <si>
    <t>安茲提格鎧甲碎片</t>
    <phoneticPr fontId="7" type="noConversion"/>
  </si>
  <si>
    <t>碎裂之核</t>
    <phoneticPr fontId="7" type="noConversion"/>
  </si>
  <si>
    <t>銀狼握柄</t>
    <phoneticPr fontId="7" type="noConversion"/>
  </si>
  <si>
    <t>血魔擲毒者</t>
    <phoneticPr fontId="7" type="noConversion"/>
  </si>
  <si>
    <t>隧岩蟲</t>
  </si>
  <si>
    <t>閃耀秘礦</t>
    <phoneticPr fontId="7" type="noConversion"/>
  </si>
  <si>
    <t>斯卡倫的骰子</t>
    <phoneticPr fontId="7" type="noConversion"/>
  </si>
  <si>
    <t>TriuneCultist_A_Unique_01:兇邪的莎瑞拉/Sarella the Vile
TriuneCultist_A_Unique_02:折磨者克拉蘇斯/Crassus the Tormentor
TriuneCultist_A_VendorRescue_Unique:布拉坎/Brakan</t>
    <phoneticPr fontId="7" type="noConversion"/>
  </si>
  <si>
    <t>教徒之血</t>
    <phoneticPr fontId="7" type="noConversion"/>
  </si>
  <si>
    <t>繪圖師的工具箱</t>
    <phoneticPr fontId="7" type="noConversion"/>
  </si>
  <si>
    <t>守護者的徽記</t>
    <phoneticPr fontId="7" type="noConversion"/>
  </si>
  <si>
    <t>creepMob_A_Unique_02:劇毒的瓦里法爾/Valifahr the Noxious</t>
    <phoneticPr fontId="7" type="noConversion"/>
  </si>
  <si>
    <t>孱弱之瓶</t>
    <phoneticPr fontId="7" type="noConversion"/>
  </si>
  <si>
    <t>惡魔皮囊</t>
    <phoneticPr fontId="7" type="noConversion"/>
  </si>
  <si>
    <t>SandMonster_A_Eternal_Guardian_ZoltBoss:永恆守護者/永恆守護者
sandMonster_A_PortalRoulette:厄奴泰/Ernutet
SandMonster_C_Unique_01:瑟恩/Thrum</t>
    <phoneticPr fontId="7" type="noConversion"/>
  </si>
  <si>
    <t>懲罪者</t>
    <phoneticPr fontId="7" type="noConversion"/>
  </si>
  <si>
    <t>死亡鬼影</t>
    <phoneticPr fontId="7" type="noConversion"/>
  </si>
  <si>
    <t>生機之甕</t>
    <phoneticPr fontId="7" type="noConversion"/>
  </si>
  <si>
    <t>A2 達厄古綠洲 斯撒拉斯
A2 卡爾蒂姆下水道 毒蛇哈佐
A2 卡爾蒂姆下水道 寧吉徐
A2 卡爾蒂姆下水道 卡兹</t>
    <phoneticPr fontId="7" type="noConversion"/>
  </si>
  <si>
    <t>鐵狼衛隊軍規</t>
    <phoneticPr fontId="7" type="noConversion"/>
  </si>
  <si>
    <t>Shield_Skeleton_A_Unique_01:凱吉隊長/Captain Cage
☆Shield_Skeleton_E_Unique_01:達列隊長/Captain Dale</t>
    <phoneticPr fontId="7" type="noConversion"/>
  </si>
  <si>
    <t>jundon2#3213</t>
    <phoneticPr fontId="12" type="noConversion"/>
  </si>
  <si>
    <t>羅馬上空的鷹#3407</t>
    <phoneticPr fontId="12" type="noConversion"/>
  </si>
  <si>
    <t>此外，感谢那些没有留名的热心朋友！</t>
    <phoneticPr fontId="12" type="noConversion"/>
  </si>
  <si>
    <t>ACT1</t>
    <phoneticPr fontId="7" type="noConversion"/>
  </si>
  <si>
    <t>ACT2</t>
    <phoneticPr fontId="7" type="noConversion"/>
  </si>
  <si>
    <t>ACT3</t>
    <phoneticPr fontId="7" type="noConversion"/>
  </si>
  <si>
    <t>ACT4</t>
    <phoneticPr fontId="7" type="noConversion"/>
  </si>
  <si>
    <t xml:space="preserve"> 同上</t>
    <phoneticPr fontId="7" type="noConversion"/>
  </si>
  <si>
    <t>ACT2</t>
    <phoneticPr fontId="7" type="noConversion"/>
  </si>
  <si>
    <t>名称</t>
    <phoneticPr fontId="7" type="noConversion"/>
  </si>
  <si>
    <t>☆A4 銀光尖塔第一層 受詛者派爾斯
☆A4 天翼橋 衣卒爾
A5 永恆戰場 永恆峭壁 被遺忘在時間洪流中的戰爭 艾荷路斯
A5 混沌界要塞第二層 塞里克
A5 混沌界要塞第二層 索倫</t>
    <phoneticPr fontId="7" type="noConversion"/>
  </si>
  <si>
    <t>☆A1 南部高地 喚亡者卡胡爾
☆A1 李奧瑞克宅邸 邪惡的克萊倫
☆A1 李奧瑞克宅邸 喚魔師吉列伯
☆A2 奧卡納斯之路 葉什
☆A2 奧卡納斯 召魔者尚達爾</t>
    <phoneticPr fontId="7" type="noConversion"/>
  </si>
  <si>
    <t>☆A3 亞瑞特巨坑第一層 絕截爪
☆A3 遣罪之塔第二層 蠍老闆
☆A3 亞瑞特地核 毒魔蠍
A5 寇佛斯遺跡 巴拉塔</t>
    <phoneticPr fontId="7" type="noConversion"/>
  </si>
  <si>
    <r>
      <t>☆A1 荒棄墓園 墮落的魯休斯
☆A1 被褻瀆的墓穴 掘墓者奧戴爾
☆A1 被褻瀆的墓穴 掘墓者戴塔
A1 被褻瀆的墓穴 [棺材板]約翰·戈罕
☆A1 被褻瀆的墓穴 德魯利</t>
    </r>
    <r>
      <rPr>
        <sz val="10"/>
        <rFont val="MingLiU"/>
        <family val="3"/>
        <charset val="136"/>
      </rPr>
      <t>‧</t>
    </r>
    <r>
      <rPr>
        <sz val="10"/>
        <rFont val="宋体"/>
        <family val="3"/>
        <charset val="134"/>
      </rPr>
      <t>布朗</t>
    </r>
    <phoneticPr fontId="7" type="noConversion"/>
  </si>
  <si>
    <t>☆A4 銀光尖塔第二層 霍瑞斯
☆A4 銀光尖塔第二層 [無魂者]殘夜</t>
    <phoneticPr fontId="7" type="noConversion"/>
  </si>
  <si>
    <t>☆A3 要塞下層第一層 笞舌
☆A3 要塞下層第二層 恐怖的阿若希斯
☆A3 遣罪之塔第二層 笞劈</t>
    <phoneticPr fontId="7" type="noConversion"/>
  </si>
  <si>
    <t>☆A2 黑谷礦坑 剃刃嘴
A2 刺風沙漠 兇暴的沙丘巨尾蜥
A2 卡爾蒂姆下水道 月牙·恐鯊</t>
    <phoneticPr fontId="7" type="noConversion"/>
  </si>
  <si>
    <t>☆A3 亞瑞特地核 兇斧斷
☆A3 遣罪之塔第一層 哈克斬
☆A3 遣罪之塔第二層 磺石裂
☆A4 希望園圃第一階 卡騰
☆A4 希望園圃第二階 銳爪</t>
    <phoneticPr fontId="7" type="noConversion"/>
  </si>
  <si>
    <t>☆A3 譴罪之塔第一層 邪惡的迪蒙妮卡
☆A4 銀光尖塔第一層 污穢的凱辛德菈
A5 衛斯馬屈城中區 沉痛之屋 薇多莉亞夫人</t>
    <phoneticPr fontId="7" type="noConversion"/>
  </si>
  <si>
    <t>☆A1 大教堂第四層 凱吉隊長
☆A1 腐潰之林 先祖的最後一戰 恩美爾卡
☆A3 要塞下層第一層 亞當唐恩隊長
☆A3 要塞下層第一層 達列隊長</t>
    <phoneticPr fontId="7" type="noConversion"/>
  </si>
  <si>
    <t>☆A1 大教堂第四層 奇里安·達魔特
☆A3 要塞下層第三層 穿心箭比拉格</t>
    <phoneticPr fontId="7" type="noConversion"/>
  </si>
  <si>
    <t>☆A2 嚎泣高原 狂刀手煞哈
☆A2 嚎泣高原 狂野的塔羅斯
☆A2 刺風沙漠 伊菈奇
A3 殺戮戰場 霜寒洞窟第二層 豹女奇塔拉
A3 殺戮戰場 霜寒洞窟第二層 冬結的澤露莎
A3 殺戮戰場 霜寒洞窟第二層 Scathach the Savage
☆A5 瑪瑟爾</t>
    <phoneticPr fontId="7" type="noConversion"/>
  </si>
  <si>
    <t>☆A1 南部高地 強兵駱札克
A1 南部高地 司凱林拉斯
A1 南部高地 古老的葬坑 丘帕·卡茲拉</t>
    <phoneticPr fontId="7" type="noConversion"/>
  </si>
  <si>
    <t>☆A3 天冠城垛 破壞者索姆普
☆A3 石壘 強棍打臉
A3 石壘 耐心等待增援 德古斯
☆A3 要塞下層第二層 粉碎者
A3 拉基斯路口 瘋狂的攀爬者 布索</t>
    <phoneticPr fontId="7" type="noConversion"/>
  </si>
  <si>
    <t>☆A1 大教堂第一層 滑翼
☆A1 大教堂第二層 催火狂魔
☆A1 悲慘之原 飛蝠農場 镰牙
☆A2 未知深境 地獄吼</t>
    <phoneticPr fontId="7" type="noConversion"/>
  </si>
  <si>
    <t>☆A3 要塞下層第二層 巴侯藍
☆A3 拉基斯路口 碩妖</t>
    <phoneticPr fontId="7" type="noConversion"/>
  </si>
  <si>
    <t>☆A4 希望園圃第一階 炬燃
A5 永恆戰場 惡魔囚犯 艾米克戴瓦
☆A5 永恆戰場 寇裘羅斯
A5 出土廢墟第二層 德傑斯特的寶石 維基斯
A5 攻城哨站 西勒</t>
    <phoneticPr fontId="7" type="noConversion"/>
  </si>
  <si>
    <t>☆A4 希望園圃第二階 葛安
☆A4 希望園圃第二階 奧塔旭</t>
    <phoneticPr fontId="7" type="noConversion"/>
  </si>
  <si>
    <t>A2 達厄古綠洲 遺忘廢墟 遠古守護者
A2 淒涼沙地 悲運之輪 厄奴泰
☆A2 暗影之境 瑟恩
☆A2 未知深境 羅古特</t>
    <phoneticPr fontId="7" type="noConversion"/>
  </si>
  <si>
    <r>
      <t>☆A1 被褻瀆的墓穴 夫人的遺骸 登海德領主
☆A1 被褻瀆的墓穴 德魯利</t>
    </r>
    <r>
      <rPr>
        <sz val="10"/>
        <rFont val="MingLiU"/>
        <family val="3"/>
        <charset val="136"/>
      </rPr>
      <t>‧</t>
    </r>
    <r>
      <rPr>
        <sz val="10"/>
        <rFont val="宋体"/>
        <family val="3"/>
        <charset val="134"/>
      </rPr>
      <t>布朗（存疑）
☆A1 腐潰之林 費可拉爾的鬼魂
☆A1 腐潰之林 霍桑·加寶
A2 卡爾蒂姆下水道 納古勒之影
A2 卡爾蒂姆下水道 拉茲艾爾
☆A2 暗影之境 書籍管理員
☆A2 未知深境 秘庫管理員</t>
    </r>
    <phoneticPr fontId="7" type="noConversion"/>
  </si>
  <si>
    <t>A2 刺風沙漠 失蹤商隊 畢亞特
A2 達厄古綠洲 阿擅谷
☆A2 達厄古綠洲 巴希歐克
☆A2 達厄古綠洲 蒙登歐戈</t>
    <phoneticPr fontId="7" type="noConversion"/>
  </si>
  <si>
    <t>☆A5 瑪瑟爾（掉率极低，已被暴雪列为已知问题）</t>
    <phoneticPr fontId="7" type="noConversion"/>
  </si>
  <si>
    <t>☆A3 戰場 懼握
A3 戰場 防守醫療站 爪顎
☆A3 亞瑞特巨坑第一層 劇毒的瓦里法爾</t>
    <phoneticPr fontId="7" type="noConversion"/>
  </si>
  <si>
    <t>A1 歡樂谷 夜光閃閃
A1 歡樂谷 獨角獸戰隊 （莫琳索莉、地獄小姐、奇麗兒、拉萊耶）
A1 歡樂谷 夢夢瑞薾媞
A1 歡樂谷 星塵公主
A1 歡樂谷 奶油泡芙</t>
    <phoneticPr fontId="7" type="noConversion"/>
  </si>
  <si>
    <t>☆A2 瑪格妲</t>
    <phoneticPr fontId="7" type="noConversion"/>
  </si>
  <si>
    <t>☆A3 阿茲莫丹</t>
    <phoneticPr fontId="7" type="noConversion"/>
  </si>
  <si>
    <t>A4 希望园圃第二階 光燦禮拜堂 「悖逆者」瑪爾菲斯
☆A4 銀光尖塔第二層 騷索
☆A4 銀光尖塔第二層 羅凱</t>
    <phoneticPr fontId="7" type="noConversion"/>
  </si>
  <si>
    <t>A1 被腐朽的墓穴第二層 裂喉
☆A1 大教堂第二層 康爵朗
☆A1 苦痛刑牢第二層 需要幫助的陌生人 苦痛巨屍</t>
    <phoneticPr fontId="7" type="noConversion"/>
  </si>
  <si>
    <t>☆A3 亞瑞特巨坑第一層 嗥牙
A3 遣罪之塔第一層 囓骨</t>
    <phoneticPr fontId="7" type="noConversion"/>
  </si>
  <si>
    <r>
      <t>A1 李奧瑞克密道 斬首者
☆A1 大教堂第二層 梅里恩</t>
    </r>
    <r>
      <rPr>
        <sz val="10"/>
        <rFont val="MingLiU"/>
        <family val="3"/>
        <charset val="136"/>
      </rPr>
      <t>‧</t>
    </r>
    <r>
      <rPr>
        <sz val="10"/>
        <rFont val="宋体"/>
        <family val="3"/>
        <charset val="134"/>
      </rPr>
      <t>顱棘</t>
    </r>
    <phoneticPr fontId="7" type="noConversion"/>
  </si>
  <si>
    <t>☆A5 永恆戰場 老鎧巴格
☆A5 永恆戰場 巨岩克洛斯
☆A5 永恆戰場 薩塔
A5 永恆戰場 遣逐之境 瑪格瑞薩</t>
    <phoneticPr fontId="7" type="noConversion"/>
  </si>
  <si>
    <t>☆A1 悲泣荒原 疥癬
☆A1 悲慘之原 荒棄農場 穴居怒魔
☆A1 悲慘之原 恐爪躍行魔
☆A1 悲慘之原 失落的礦洞 珍貴的礦脈 夏那比
☆A1 南部高地 瞭望塔 被食腐兽偷走的剑鞘 破甲者</t>
    <phoneticPr fontId="7" type="noConversion"/>
  </si>
  <si>
    <t>☆A1 腐潰之林 永恆之戰 安奇杜
☆A1 腐潰之林 厲擊
☆A3 拉基斯路口 烈火榮耀 拉瓦林斯
☆A3 譴罪之塔第一層 茍烈許</t>
    <phoneticPr fontId="7" type="noConversion"/>
  </si>
  <si>
    <t>A1 李奧瑞克狩獵場 珀瑟帕斯
☆1 李奧瑞克狩獵場 高地洞穴 藥劑師的兄弟 布拉坎 
☆A1 李奧瑞克宅邸前庭 兇邪的莎瑞拉
A1 苦痛刑牢第一層 邪教大審判官
☆A1 苦痛刑牢第一層 折磨者克拉蘇斯
☆A2 奧卡納斯 大祭司穆朵斯
☆A2 奧卡納斯 教士鳩羅</t>
    <phoneticPr fontId="7" type="noConversion"/>
  </si>
  <si>
    <t>只在真墓穴出，可以把任务开在丞相墓穴 存储点在第二層门口</t>
  </si>
  <si>
    <t>奥卡纳斯分上下2層 只有下層有精英 但是紫怪上下2層都刷新</t>
  </si>
  <si>
    <t>掉落怪物（☆表示可以通过专门的悬赏任务击杀）（暂不完整）</t>
    <phoneticPr fontId="7" type="noConversion"/>
  </si>
  <si>
    <t xml:space="preserve">很难出 出来的时候就是脚后一团火 </t>
    <phoneticPr fontId="7" type="noConversion"/>
  </si>
  <si>
    <t>地图很小 比较容易刷出</t>
    <phoneticPr fontId="7" type="noConversion"/>
  </si>
  <si>
    <t xml:space="preserve">食腐魔样子 </t>
    <phoneticPr fontId="7" type="noConversion"/>
  </si>
  <si>
    <t>会钻地怪都比较麻烦 如果走的快 你会看到在路上 慢了就直接钻地下了</t>
    <phoneticPr fontId="7" type="noConversion"/>
  </si>
  <si>
    <t>蜘蛛洞里会有一只常驻酱油 剧毒的亚瑟特 但是不影响户口紫怪出现</t>
    <phoneticPr fontId="7" type="noConversion"/>
  </si>
  <si>
    <t>从崔斯特姆到旧镇废墟的一段路中</t>
    <phoneticPr fontId="7" type="noConversion"/>
  </si>
  <si>
    <t>天上单独飞的金鸟  靠近会在你头顶飞行 地上会有光圈</t>
    <phoneticPr fontId="7" type="noConversion"/>
  </si>
  <si>
    <t>比较难处 同地图有只一样模型的酱油</t>
    <phoneticPr fontId="7" type="noConversion"/>
  </si>
  <si>
    <t>自爆魔和骷髅场景都会刷新</t>
    <phoneticPr fontId="7" type="noConversion"/>
  </si>
  <si>
    <t>拉库尼女獵手</t>
    <phoneticPr fontId="7" type="noConversion"/>
  </si>
  <si>
    <t>很难出 同地图有只一样模型的酱油  会直接在路上 大多数会从地下跳出来 别走太快</t>
    <phoneticPr fontId="7" type="noConversion"/>
  </si>
  <si>
    <t>S级难度 怪在地下 而且没有金圈 爬出来需要时间 所以别跑太快 绝对看脸</t>
    <phoneticPr fontId="7" type="noConversion"/>
  </si>
  <si>
    <t>地下钻出 靠近地上有光圈</t>
    <phoneticPr fontId="7" type="noConversion"/>
  </si>
  <si>
    <t>如果你只看到一只钻地有金圈的怪 别怀疑 就是它了</t>
    <phoneticPr fontId="7" type="noConversion"/>
  </si>
  <si>
    <t>把任务开在2-8-1 进右边风暴长廊跑到尾巴  点中间任务 走到出口那段会有储存点</t>
    <phoneticPr fontId="7" type="noConversion"/>
  </si>
  <si>
    <t>这地图有5只酱油 往往毒蛇没出  酱油一坨</t>
    <phoneticPr fontId="7" type="noConversion"/>
  </si>
  <si>
    <t>地图很小 多重置几次</t>
    <phoneticPr fontId="7" type="noConversion"/>
  </si>
  <si>
    <t>有只同类型酱油 砖顶</t>
    <phoneticPr fontId="7" type="noConversion"/>
  </si>
  <si>
    <t>只是路过的哦 不过别放过</t>
    <phoneticPr fontId="7" type="noConversion"/>
  </si>
  <si>
    <t>刷牧牛仗的肯定不会错过这只怪</t>
    <phoneticPr fontId="7" type="noConversion"/>
  </si>
  <si>
    <t xml:space="preserve">靠近会有金圈 有一同类型酱油 锐齿 别走太快 </t>
    <phoneticPr fontId="7" type="noConversion"/>
  </si>
  <si>
    <t>有只酱油队长</t>
    <phoneticPr fontId="7" type="noConversion"/>
  </si>
  <si>
    <t>看到金圈怪 别高兴太早 金色怪也是单独一只 喽啰是装甲破坏兽 习惯就好</t>
    <phoneticPr fontId="7" type="noConversion"/>
  </si>
  <si>
    <t>出自成就“撞到鬼”，只出现在假墓中</t>
    <phoneticPr fontId="7" type="noConversion"/>
  </si>
  <si>
    <t>出自成就“撞到鬼”，只在真墓穴出，可以把任务开在丞相墓穴 存储点在第二層门口</t>
    <phoneticPr fontId="7" type="noConversion"/>
  </si>
  <si>
    <t>传奇锻造材料掉落表（Patch2.06后已作废）</t>
    <phoneticPr fontId="7" type="noConversion"/>
  </si>
  <si>
    <t>mac#3911</t>
    <phoneticPr fontId="12" type="noConversion"/>
  </si>
  <si>
    <t>时不予</t>
    <phoneticPr fontId="12" type="noConversion"/>
  </si>
  <si>
    <t>繁体中文</t>
    <phoneticPr fontId="20" type="noConversion"/>
  </si>
  <si>
    <t>英文</t>
    <phoneticPr fontId="20" type="noConversion"/>
  </si>
  <si>
    <t>简体中文</t>
    <phoneticPr fontId="20" type="noConversion"/>
  </si>
  <si>
    <t>所属章节</t>
    <phoneticPr fontId="20" type="noConversion"/>
  </si>
  <si>
    <t>备注</t>
    <phoneticPr fontId="20" type="noConversion"/>
  </si>
  <si>
    <t>紅巨岩</t>
    <phoneticPr fontId="20" type="noConversion"/>
  </si>
  <si>
    <t>Red Rock</t>
  </si>
  <si>
    <t>红石</t>
    <phoneticPr fontId="20" type="noConversion"/>
  </si>
  <si>
    <t>哈格斯森魔</t>
  </si>
  <si>
    <t>Ragus Grimlow</t>
  </si>
  <si>
    <t>拉古斯·格里莫劳</t>
    <phoneticPr fontId="20" type="noConversion"/>
  </si>
  <si>
    <t>A1</t>
    <phoneticPr fontId="20" type="noConversion"/>
  </si>
  <si>
    <t>破肚恐屍</t>
  </si>
  <si>
    <t>Bellybloat the Scarred</t>
  </si>
  <si>
    <t>乱疤巨腹</t>
    <phoneticPr fontId="20" type="noConversion"/>
  </si>
  <si>
    <t>催火狂魔</t>
  </si>
  <si>
    <t>Firestarter</t>
  </si>
  <si>
    <t>召火天鬼</t>
    <phoneticPr fontId="20" type="noConversion"/>
  </si>
  <si>
    <t>A1</t>
  </si>
  <si>
    <t>費可拉爾的鬼魂</t>
  </si>
  <si>
    <t>Fecklar's Ghost</t>
  </si>
  <si>
    <t>费克拉的鬼魂</t>
    <phoneticPr fontId="20" type="noConversion"/>
  </si>
  <si>
    <t>戰士婁格魯克</t>
  </si>
  <si>
    <t>Logrut the Warrior</t>
  </si>
  <si>
    <t>战士罗格鲁特</t>
    <phoneticPr fontId="20" type="noConversion"/>
  </si>
  <si>
    <t>強兵駱札克</t>
  </si>
  <si>
    <t>Lorzak the Powerful</t>
  </si>
  <si>
    <t>强大的罗扎克</t>
    <phoneticPr fontId="20" type="noConversion"/>
  </si>
  <si>
    <t>德魯利‧布朗</t>
  </si>
  <si>
    <t>Drury Brown</t>
  </si>
  <si>
    <t>墮落的魯休斯</t>
  </si>
  <si>
    <t>Lucious the Depraved</t>
  </si>
  <si>
    <t>堕落的鲁修斯</t>
    <phoneticPr fontId="20" type="noConversion"/>
  </si>
  <si>
    <t>疥癬</t>
  </si>
  <si>
    <t>Mange</t>
  </si>
  <si>
    <t>癞疥兽</t>
    <phoneticPr fontId="20" type="noConversion"/>
  </si>
  <si>
    <t>恐爪躍行魔</t>
  </si>
  <si>
    <t>Dreadclaw the Leaper</t>
  </si>
  <si>
    <t>凱吉隊長</t>
  </si>
  <si>
    <t>Captain Cage</t>
  </si>
  <si>
    <t>卡奇队长</t>
    <phoneticPr fontId="20" type="noConversion"/>
  </si>
  <si>
    <t>梅里恩‧顱棘</t>
  </si>
  <si>
    <t>Merrium Skullthorn</t>
  </si>
  <si>
    <t>劇毒的杰洛伯</t>
  </si>
  <si>
    <t>Zhelobb the Venomous</t>
  </si>
  <si>
    <t>剧毒的蛰洛比</t>
    <phoneticPr fontId="20" type="noConversion"/>
  </si>
  <si>
    <t>毒寡婦萊斯琳</t>
  </si>
  <si>
    <t>Rathlin the Widowmaker</t>
  </si>
  <si>
    <t>咒謾者酷瑞許</t>
  </si>
  <si>
    <t>Qurash the Reviled</t>
  </si>
  <si>
    <t>毒齧</t>
  </si>
  <si>
    <t>Venimite</t>
  </si>
  <si>
    <t>毒液虫</t>
    <phoneticPr fontId="20" type="noConversion"/>
  </si>
  <si>
    <t>兇邪的沙瑞菈</t>
  </si>
  <si>
    <t>Sarella the Vile</t>
  </si>
  <si>
    <t>邪恶的萨瑞拉</t>
    <phoneticPr fontId="20" type="noConversion"/>
  </si>
  <si>
    <t>Jezeb the Conjuror</t>
  </si>
  <si>
    <t>康爵朗</t>
  </si>
  <si>
    <t>Cudgelarm</t>
  </si>
  <si>
    <t>大棒刚臂</t>
    <phoneticPr fontId="20" type="noConversion"/>
  </si>
  <si>
    <t>埃班奈澤‧山謬</t>
  </si>
  <si>
    <t>Ebenezer Samuel</t>
  </si>
  <si>
    <t>掘墓者戴塔</t>
  </si>
  <si>
    <t>Dataminer</t>
  </si>
  <si>
    <t>数据挖掘者</t>
    <phoneticPr fontId="20" type="noConversion"/>
  </si>
  <si>
    <t>[棺材板]約翰·戈罕</t>
    <phoneticPr fontId="20" type="noConversion"/>
  </si>
  <si>
    <t>John Gorham Coffin</t>
    <phoneticPr fontId="20" type="noConversion"/>
  </si>
  <si>
    <t>棺材约翰·格汉姆</t>
    <phoneticPr fontId="20" type="noConversion"/>
  </si>
  <si>
    <t>血羽</t>
  </si>
  <si>
    <t>Bloodfeather</t>
  </si>
  <si>
    <t>血羽</t>
    <phoneticPr fontId="20" type="noConversion"/>
  </si>
  <si>
    <t>托爾撒</t>
  </si>
  <si>
    <t>Torsar</t>
  </si>
  <si>
    <t>托沙尔</t>
    <phoneticPr fontId="20" type="noConversion"/>
  </si>
  <si>
    <t>瘋子加特</t>
  </si>
  <si>
    <t>Gart the Mad</t>
  </si>
  <si>
    <t>疯子加特</t>
    <phoneticPr fontId="20" type="noConversion"/>
  </si>
  <si>
    <t>阿胥克</t>
  </si>
  <si>
    <t>Ashek</t>
  </si>
  <si>
    <t>阿什克</t>
    <phoneticPr fontId="20" type="noConversion"/>
  </si>
  <si>
    <t>畢亞特</t>
  </si>
  <si>
    <t>Beyatt</t>
  </si>
  <si>
    <t>比亚特</t>
    <phoneticPr fontId="20" type="noConversion"/>
  </si>
  <si>
    <t>詛咒者奧茲</t>
  </si>
  <si>
    <t>Otzi the Cursed</t>
  </si>
  <si>
    <t>被诅咒的奥特兹</t>
    <phoneticPr fontId="20" type="noConversion"/>
  </si>
  <si>
    <t>地獄吼</t>
  </si>
  <si>
    <t>Hellscream</t>
  </si>
  <si>
    <t>地狱尖啸者</t>
    <phoneticPr fontId="20" type="noConversion"/>
  </si>
  <si>
    <t>秘庫管理員</t>
  </si>
  <si>
    <t>The Archivist</t>
  </si>
  <si>
    <t>档案保管员</t>
    <phoneticPr fontId="20" type="noConversion"/>
  </si>
  <si>
    <t>狂刀手煞哈</t>
  </si>
  <si>
    <t>Saha the Slasher</t>
  </si>
  <si>
    <t>惡毒的雷哈</t>
  </si>
  <si>
    <t>Raiha the Vicious</t>
  </si>
  <si>
    <t>凶恶的莱哈</t>
    <phoneticPr fontId="20" type="noConversion"/>
  </si>
  <si>
    <t>魔嬰布拉格</t>
  </si>
  <si>
    <t>Blarg the Imp</t>
  </si>
  <si>
    <t>瑟恩</t>
  </si>
  <si>
    <t>Thrum</t>
  </si>
  <si>
    <t>苏姆</t>
    <phoneticPr fontId="20" type="noConversion"/>
  </si>
  <si>
    <t>剃刃嘴</t>
  </si>
  <si>
    <t>Razormouth</t>
  </si>
  <si>
    <t>利刃巨口</t>
    <phoneticPr fontId="20" type="noConversion"/>
  </si>
  <si>
    <t>大法師司寇馬拉</t>
  </si>
  <si>
    <t>Mage Lord Skomara</t>
  </si>
  <si>
    <t>法圣思科马拉</t>
    <phoneticPr fontId="20" type="noConversion"/>
  </si>
  <si>
    <t>大法師古揚</t>
  </si>
  <si>
    <t>Mage Lord Ghuyan</t>
  </si>
  <si>
    <t>法圣圭亚恩</t>
    <phoneticPr fontId="20" type="noConversion"/>
  </si>
  <si>
    <t>大法師弗萊德雷</t>
  </si>
  <si>
    <t>Mage Lord Flaydren</t>
  </si>
  <si>
    <t>法圣弗雷德恩</t>
    <phoneticPr fontId="20" type="noConversion"/>
  </si>
  <si>
    <t>大法師寇司塔斯</t>
  </si>
  <si>
    <t>Mage Lord Caustus</t>
  </si>
  <si>
    <t>法圣考斯图斯</t>
    <phoneticPr fontId="20" type="noConversion"/>
  </si>
  <si>
    <t>毒蛇哈佐</t>
  </si>
  <si>
    <t>毒蛇哈兹尔</t>
    <phoneticPr fontId="20" type="noConversion"/>
  </si>
  <si>
    <t>亞卡拉</t>
  </si>
  <si>
    <t>Yakara</t>
  </si>
  <si>
    <t>亚卡拉</t>
    <phoneticPr fontId="20" type="noConversion"/>
  </si>
  <si>
    <t>死螯蟲群</t>
  </si>
  <si>
    <t>Stinging Death Swarm</t>
  </si>
  <si>
    <t>死亡针群</t>
    <phoneticPr fontId="20" type="noConversion"/>
  </si>
  <si>
    <t>狂戰士夏馬</t>
  </si>
  <si>
    <t>Sammash</t>
  </si>
  <si>
    <t>狠砸怪</t>
    <phoneticPr fontId="20" type="noConversion"/>
  </si>
  <si>
    <t>葉什</t>
  </si>
  <si>
    <t>Yeth</t>
  </si>
  <si>
    <t>耶特</t>
    <phoneticPr fontId="20" type="noConversion"/>
  </si>
  <si>
    <t>大祭司穆朵斯</t>
  </si>
  <si>
    <t>High Cultist Murdos</t>
  </si>
  <si>
    <t>高阶邪教徒墨杜斯</t>
    <phoneticPr fontId="20" type="noConversion"/>
  </si>
  <si>
    <t>祈求者尚達爾</t>
  </si>
  <si>
    <t>Shondar the Invoker</t>
  </si>
  <si>
    <t>唤魔师尚达尔</t>
    <phoneticPr fontId="20" type="noConversion"/>
  </si>
  <si>
    <t>書籍管理員</t>
  </si>
  <si>
    <t>The Tomekeeper</t>
  </si>
  <si>
    <t>典籍守护者</t>
    <phoneticPr fontId="20" type="noConversion"/>
  </si>
  <si>
    <t>巴希歐克</t>
    <phoneticPr fontId="20" type="noConversion"/>
  </si>
  <si>
    <t>Bashiok</t>
    <phoneticPr fontId="20" type="noConversion"/>
  </si>
  <si>
    <t>毕叔</t>
    <phoneticPr fontId="20" type="noConversion"/>
  </si>
  <si>
    <t>哈克斬</t>
  </si>
  <si>
    <t>Haxxor</t>
  </si>
  <si>
    <t>哈克索尔</t>
    <phoneticPr fontId="20" type="noConversion"/>
  </si>
  <si>
    <t>A3</t>
    <phoneticPr fontId="20" type="noConversion"/>
  </si>
  <si>
    <t>兇斧斷</t>
  </si>
  <si>
    <t>Axgore the Cleaver</t>
  </si>
  <si>
    <t>狂斩埃克格尔</t>
    <phoneticPr fontId="20" type="noConversion"/>
  </si>
  <si>
    <t>兇暴灰火飢</t>
  </si>
  <si>
    <t>Vicious Gray Turkey</t>
  </si>
  <si>
    <t>恶毒的苍白灰小鬼</t>
    <phoneticPr fontId="20" type="noConversion"/>
  </si>
  <si>
    <t>A3</t>
  </si>
  <si>
    <t>鐵拳古金</t>
  </si>
  <si>
    <t>Gugyn the Gauntlet</t>
  </si>
  <si>
    <t>钢手古金</t>
    <phoneticPr fontId="20" type="noConversion"/>
  </si>
  <si>
    <t>懼握</t>
  </si>
  <si>
    <t>Dreadgrasp</t>
  </si>
  <si>
    <t>死亡缠须</t>
    <phoneticPr fontId="20" type="noConversion"/>
  </si>
  <si>
    <t>馬丘賽斯</t>
  </si>
  <si>
    <t>Marchocyas</t>
  </si>
  <si>
    <t>马加锡亚</t>
    <phoneticPr fontId="20" type="noConversion"/>
  </si>
  <si>
    <t>恐爪惡魔妖蝠</t>
  </si>
  <si>
    <t>Direclaw the Demonflyer</t>
  </si>
  <si>
    <t>恐爪天鬼</t>
    <phoneticPr fontId="20" type="noConversion"/>
  </si>
  <si>
    <t>強棍打臉</t>
  </si>
  <si>
    <t>Bashface the Truncheon</t>
  </si>
  <si>
    <t>砸脸重棍</t>
    <phoneticPr fontId="20" type="noConversion"/>
  </si>
  <si>
    <t>粉碎者</t>
  </si>
  <si>
    <t>The Crusher</t>
  </si>
  <si>
    <t>粉碎者</t>
    <phoneticPr fontId="20" type="noConversion"/>
  </si>
  <si>
    <t>重拳盧魔克</t>
  </si>
  <si>
    <t>Lummock the Brute</t>
  </si>
  <si>
    <t>残暴的卢默克</t>
    <phoneticPr fontId="20" type="noConversion"/>
  </si>
  <si>
    <t>嘷牙</t>
  </si>
  <si>
    <t>Growlfang</t>
  </si>
  <si>
    <t>嘷牙</t>
    <phoneticPr fontId="20" type="noConversion"/>
  </si>
  <si>
    <t>魔怪梅沙克</t>
  </si>
  <si>
    <t>Mehshak the Abomination</t>
  </si>
  <si>
    <t>苟烈許</t>
  </si>
  <si>
    <t>Gholash</t>
  </si>
  <si>
    <t>格拉什</t>
    <phoneticPr fontId="20" type="noConversion"/>
  </si>
  <si>
    <t>邪惡的布拉格</t>
  </si>
  <si>
    <t>Blarg the Foul</t>
  </si>
  <si>
    <t>污秽的布拉格</t>
    <phoneticPr fontId="20" type="noConversion"/>
  </si>
  <si>
    <t>畸形的希拉格</t>
  </si>
  <si>
    <t>Hyrug the Malformed</t>
  </si>
  <si>
    <t>畸形的海鲁格</t>
    <phoneticPr fontId="20" type="noConversion"/>
  </si>
  <si>
    <t>矛兵手查魯奇</t>
  </si>
  <si>
    <t>Charuch the Spear</t>
  </si>
  <si>
    <t>长枪查鲁克</t>
    <phoneticPr fontId="20" type="noConversion"/>
  </si>
  <si>
    <t>單卓拉哈爾</t>
  </si>
  <si>
    <t>Shandra'Har</t>
  </si>
  <si>
    <t>仙德拉哈</t>
    <phoneticPr fontId="20" type="noConversion"/>
  </si>
  <si>
    <t>豹女奇塔拉</t>
  </si>
  <si>
    <t>Chiltara</t>
  </si>
  <si>
    <t>琪塔拉</t>
    <phoneticPr fontId="20" type="noConversion"/>
  </si>
  <si>
    <t>絕截爪</t>
  </si>
  <si>
    <t>Severclaw</t>
  </si>
  <si>
    <t>裂爪</t>
    <phoneticPr fontId="20" type="noConversion"/>
  </si>
  <si>
    <t>棘背</t>
  </si>
  <si>
    <t>Thornback</t>
  </si>
  <si>
    <t>棘背兽</t>
    <phoneticPr fontId="20" type="noConversion"/>
  </si>
  <si>
    <t>戈蒙甘</t>
  </si>
  <si>
    <t>Gormungandr</t>
  </si>
  <si>
    <t>尘世之蟒</t>
    <phoneticPr fontId="20" type="noConversion"/>
  </si>
  <si>
    <t>達列隊長</t>
  </si>
  <si>
    <t>Captain Dale</t>
  </si>
  <si>
    <t>戴尔队长</t>
    <phoneticPr fontId="20" type="noConversion"/>
  </si>
  <si>
    <t>處決者斧斃</t>
  </si>
  <si>
    <t>Axegrave the Executioner</t>
  </si>
  <si>
    <t>穿心箭比拉格</t>
  </si>
  <si>
    <t>Belagg Pierceflesh</t>
  </si>
  <si>
    <t>笞劈</t>
  </si>
  <si>
    <t>Riplash</t>
  </si>
  <si>
    <t>裂鞭</t>
    <phoneticPr fontId="20" type="noConversion"/>
  </si>
  <si>
    <t>邪惡的迪蒙妮卡</t>
  </si>
  <si>
    <t>Demonika the Wicked</t>
  </si>
  <si>
    <t>恶毒的魔妮卡</t>
    <phoneticPr fontId="20" type="noConversion"/>
  </si>
  <si>
    <t>巨魔茍羅葛</t>
  </si>
  <si>
    <t>Gorog the Bruiser</t>
  </si>
  <si>
    <t>好斗的葛洛格</t>
    <phoneticPr fontId="20" type="noConversion"/>
  </si>
  <si>
    <t>受詛者派爾斯</t>
  </si>
  <si>
    <t>Pyres the Damned</t>
  </si>
  <si>
    <t>被诅咒的派尔斯</t>
    <phoneticPr fontId="20" type="noConversion"/>
  </si>
  <si>
    <t>炬燃</t>
  </si>
  <si>
    <t>Torchlighter</t>
  </si>
  <si>
    <t>燃炬者</t>
    <phoneticPr fontId="20" type="noConversion"/>
  </si>
  <si>
    <t>卡騰</t>
  </si>
  <si>
    <t>Khatun</t>
  </si>
  <si>
    <t>卡图恩</t>
    <phoneticPr fontId="20" type="noConversion"/>
  </si>
  <si>
    <t>[無魂者]殘夜</t>
  </si>
  <si>
    <t>Grimnight the Soulless</t>
  </si>
  <si>
    <t>无魂恶夜</t>
    <phoneticPr fontId="20" type="noConversion"/>
  </si>
  <si>
    <t>霍瑞斯</t>
  </si>
  <si>
    <t>Haures</t>
  </si>
  <si>
    <t>霍雷斯</t>
    <phoneticPr fontId="20" type="noConversion"/>
  </si>
  <si>
    <t>兇殘的維尚</t>
  </si>
  <si>
    <t>Veshan the Fierce</t>
  </si>
  <si>
    <t>凶残的贝桑</t>
    <phoneticPr fontId="20" type="noConversion"/>
  </si>
  <si>
    <t>巨獸史拉格</t>
  </si>
  <si>
    <t>Slarg the Behemoth</t>
  </si>
  <si>
    <t>騷索</t>
  </si>
  <si>
    <t>Sao'Thall</t>
  </si>
  <si>
    <t>羅凱</t>
  </si>
  <si>
    <t>Rhau'Kye</t>
  </si>
  <si>
    <t>污穢的凱辛德菈</t>
  </si>
  <si>
    <t>Kysindra the Wretched</t>
  </si>
  <si>
    <t>病狂者拉扣希斯</t>
  </si>
  <si>
    <t>Lacocious the Diseased</t>
  </si>
  <si>
    <t>恶疾缠身的拉科修斯</t>
    <phoneticPr fontId="20" type="noConversion"/>
  </si>
  <si>
    <t>暴虐獸摩格姆</t>
  </si>
  <si>
    <t>Morghum the Beast</t>
  </si>
  <si>
    <t>巨兽莫古恩</t>
    <phoneticPr fontId="20" type="noConversion"/>
  </si>
  <si>
    <t>噬牙狂蝠</t>
  </si>
  <si>
    <t>Fangbite</t>
  </si>
  <si>
    <t>板牙</t>
    <phoneticPr fontId="20" type="noConversion"/>
  </si>
  <si>
    <t>邪爪沼魔</t>
  </si>
  <si>
    <t>Vilepaw</t>
  </si>
  <si>
    <t>邪爪</t>
    <phoneticPr fontId="20" type="noConversion"/>
  </si>
  <si>
    <t>陷阱投擲魔</t>
  </si>
  <si>
    <t>Slinger</t>
  </si>
  <si>
    <t>陷阱投掷兽</t>
    <phoneticPr fontId="20" type="noConversion"/>
  </si>
  <si>
    <t>塔達迪亞</t>
  </si>
  <si>
    <t>Tadardya</t>
  </si>
  <si>
    <t>塔达迪亚</t>
    <phoneticPr fontId="20" type="noConversion"/>
  </si>
  <si>
    <t>維克塔柏</t>
  </si>
  <si>
    <t>維克馬魯</t>
  </si>
  <si>
    <t>Vek Marru</t>
  </si>
  <si>
    <t>納克薩魯</t>
  </si>
  <si>
    <t>Nak Sarugg</t>
  </si>
  <si>
    <t>納克庫金</t>
  </si>
  <si>
    <t>Nak Qujin</t>
  </si>
  <si>
    <t>巴里哈塔</t>
  </si>
  <si>
    <t>bari Hattar</t>
  </si>
  <si>
    <t>洛葛拉斯</t>
  </si>
  <si>
    <t>Lograth</t>
  </si>
  <si>
    <t>洛格拉斯</t>
  </si>
  <si>
    <t>殘虐者沃特斯克</t>
  </si>
  <si>
    <t>Valtesk the Cruel</t>
  </si>
  <si>
    <t>残忍的瓦泰斯克</t>
  </si>
  <si>
    <t>賽瑟斯</t>
  </si>
  <si>
    <t>Scythys</t>
  </si>
  <si>
    <t>赛西斯</t>
  </si>
  <si>
    <t>令人畏懼的拉萊爾</t>
  </si>
  <si>
    <t>Razzael the Feared</t>
  </si>
  <si>
    <t>可怕的拉兹尔</t>
  </si>
  <si>
    <t>海杜瑞斯</t>
  </si>
  <si>
    <t>Hyadures</t>
  </si>
  <si>
    <t>褻瀆者巴拉崔斯克</t>
  </si>
  <si>
    <t>Ballartrask the Defiler</t>
  </si>
  <si>
    <t>亵渎者巴拉塔斯克</t>
  </si>
  <si>
    <t>佐瑞斯</t>
  </si>
  <si>
    <t>Zorrus</t>
  </si>
  <si>
    <t>佐鲁斯</t>
  </si>
  <si>
    <t>薩凡</t>
  </si>
  <si>
    <t>Xaphane</t>
  </si>
  <si>
    <t>萨菲恩</t>
  </si>
  <si>
    <t>巨岩克洛斯</t>
  </si>
  <si>
    <t>Rockulus</t>
  </si>
  <si>
    <t>洛库鲁斯</t>
  </si>
  <si>
    <t>曜岩歐布斯</t>
  </si>
  <si>
    <t>Obsidious</t>
  </si>
  <si>
    <t>奥布西迪厄斯</t>
  </si>
  <si>
    <t>腐腫隧岩蟲</t>
  </si>
  <si>
    <t>Slarth the Tunneler</t>
  </si>
  <si>
    <t>腐噬隧岩蟲</t>
  </si>
  <si>
    <t>Burrask the Tunneler</t>
  </si>
  <si>
    <t>沃特瑞斯</t>
  </si>
  <si>
    <t>Watareus</t>
  </si>
  <si>
    <t>沃特鲁斯</t>
  </si>
  <si>
    <t>貝瑟斯</t>
  </si>
  <si>
    <t>Baethus</t>
  </si>
  <si>
    <t>毕苏斯</t>
  </si>
  <si>
    <t>布盧</t>
  </si>
  <si>
    <t>Bloone</t>
  </si>
  <si>
    <t>布鲁</t>
  </si>
  <si>
    <t>厄蒂絲</t>
  </si>
  <si>
    <t>Erdith</t>
  </si>
  <si>
    <t>厄蒂斯</t>
  </si>
  <si>
    <t>希德洛斯</t>
  </si>
  <si>
    <t>Hedros</t>
  </si>
  <si>
    <t>赫德罗斯</t>
  </si>
  <si>
    <t>普拉爾</t>
  </si>
  <si>
    <t>Purah</t>
  </si>
  <si>
    <t>普拉</t>
  </si>
  <si>
    <t>坦格里斯</t>
  </si>
  <si>
    <t>Targerious</t>
  </si>
  <si>
    <t>塔格瑞斯</t>
  </si>
  <si>
    <t>戴爾•霍桑</t>
  </si>
  <si>
    <t>Dale Hawthorne</t>
  </si>
  <si>
    <t>傑柏隊長</t>
  </si>
  <si>
    <t>Captain Gerber</t>
  </si>
  <si>
    <t>基伯队长</t>
  </si>
  <si>
    <t>伊果•史塔佛斯</t>
  </si>
  <si>
    <t>Igor Stalfos</t>
  </si>
  <si>
    <t>耶加契夫</t>
  </si>
  <si>
    <t>Yergacheph</t>
  </si>
  <si>
    <t>耶加切夫</t>
  </si>
  <si>
    <t>厭憎者馬坦薩斯</t>
  </si>
  <si>
    <t>Matanzas the Loathsome</t>
  </si>
  <si>
    <t>可憎的玛坦萨斯</t>
  </si>
  <si>
    <t>烈焰侍女</t>
  </si>
  <si>
    <t>Maiden of Flame</t>
  </si>
  <si>
    <t>米齊博爾</t>
  </si>
  <si>
    <t>Micheboar</t>
  </si>
  <si>
    <t>米奇博尔</t>
  </si>
  <si>
    <t>希爾多夏•布赫</t>
  </si>
  <si>
    <t>Theodosia Buhre</t>
  </si>
  <si>
    <t>詛咒者薩瑪利斯</t>
  </si>
  <si>
    <t>Sumaryss the Damned</t>
  </si>
  <si>
    <t>狂嗥者費尼亞</t>
  </si>
  <si>
    <t>咆哮者派留斯</t>
  </si>
  <si>
    <t>蛮牛怪</t>
    <phoneticPr fontId="20" type="noConversion"/>
  </si>
  <si>
    <t>顽魔</t>
    <phoneticPr fontId="20" type="noConversion"/>
  </si>
  <si>
    <t>凶残魔</t>
    <phoneticPr fontId="20" type="noConversion"/>
  </si>
  <si>
    <t>食腐獸</t>
  </si>
  <si>
    <t>食腐魔</t>
  </si>
  <si>
    <t>骷髅弓手</t>
    <phoneticPr fontId="20" type="noConversion"/>
  </si>
  <si>
    <t>恐蛛</t>
    <phoneticPr fontId="20" type="noConversion"/>
  </si>
  <si>
    <t>黑暗邪教徒</t>
  </si>
  <si>
    <t>掘墓屍魔</t>
  </si>
  <si>
    <t>无殓巨尸</t>
  </si>
  <si>
    <t>嘔吐女屍</t>
  </si>
  <si>
    <t>呕吐的女尸</t>
  </si>
  <si>
    <t>沙丘魔煞</t>
  </si>
  <si>
    <t>堕落者</t>
  </si>
  <si>
    <t>堕落犬</t>
  </si>
  <si>
    <t>叛屍</t>
  </si>
  <si>
    <t>背叛者</t>
  </si>
  <si>
    <t>洞窟飛蝠</t>
  </si>
  <si>
    <t>岩洞蝙蝠</t>
  </si>
  <si>
    <t>恶毒的食尸鬼</t>
  </si>
  <si>
    <t>豹人鞭笞者</t>
  </si>
  <si>
    <t>沙居岩像</t>
  </si>
  <si>
    <t>沙居兽</t>
  </si>
  <si>
    <t>上古沙行怪</t>
  </si>
  <si>
    <t>远古行者</t>
  </si>
  <si>
    <t>骷髅哨兵</t>
  </si>
  <si>
    <t>白骨战士</t>
  </si>
  <si>
    <t>骷髅游侠</t>
  </si>
  <si>
    <t>电荷构造体</t>
    <phoneticPr fontId="20" type="noConversion"/>
  </si>
  <si>
    <t>蛇身法师</t>
  </si>
  <si>
    <t>幼生蛛群</t>
  </si>
  <si>
    <t>巢蛛</t>
  </si>
  <si>
    <t>铁甲摧毁者</t>
    <phoneticPr fontId="20" type="noConversion"/>
  </si>
  <si>
    <t>魔翼妖蝠</t>
  </si>
  <si>
    <t>地狱天鬼</t>
  </si>
  <si>
    <t>堕落奴隶主</t>
  </si>
  <si>
    <t>堕落士兵</t>
  </si>
  <si>
    <t>堕落预言师</t>
  </si>
  <si>
    <t>血族玄術師</t>
  </si>
  <si>
    <t>鲜血氏族秘术师</t>
  </si>
  <si>
    <t>冥河毒蠍</t>
  </si>
  <si>
    <t>地狱爬行者</t>
  </si>
  <si>
    <t>顱骸劍士</t>
  </si>
  <si>
    <t>灵魂撕裂者</t>
  </si>
  <si>
    <t>苟爾勾巨魔</t>
  </si>
  <si>
    <t>戈尔格巨魔</t>
  </si>
  <si>
    <t>奴役梦魇</t>
  </si>
  <si>
    <t>统御魔</t>
  </si>
  <si>
    <t>魔虜軍團士兵</t>
  </si>
  <si>
    <t>魔鲁军团士兵</t>
  </si>
  <si>
    <t>苟爾勾狂魔</t>
  </si>
  <si>
    <t>疯狂的戈尔格</t>
  </si>
  <si>
    <t>收割者</t>
    <phoneticPr fontId="20" type="noConversion"/>
  </si>
  <si>
    <t>激怒的厉魂</t>
  </si>
  <si>
    <t>刺針惡魔</t>
  </si>
  <si>
    <t>刺脊怪</t>
  </si>
  <si>
    <t>返世亡靈弓箭手</t>
  </si>
  <si>
    <t>转生弓手</t>
  </si>
  <si>
    <t>黑暗狂暴者</t>
  </si>
  <si>
    <t>黑暗狂暴者</t>
    <phoneticPr fontId="20" type="noConversion"/>
  </si>
  <si>
    <t>穢邪奴僕</t>
  </si>
  <si>
    <t>不洁的奴役体</t>
  </si>
  <si>
    <t>飢餓的殭屍</t>
  </si>
  <si>
    <t>饥饿的行尸</t>
  </si>
  <si>
    <t>飢餓的死者</t>
  </si>
  <si>
    <t>恶馋亡灵</t>
  </si>
  <si>
    <t>堕落监工</t>
  </si>
  <si>
    <t>堕落苦工</t>
  </si>
  <si>
    <t>堕落巫师</t>
    <phoneticPr fontId="20" type="noConversion"/>
  </si>
  <si>
    <t>被诅咒者</t>
    <phoneticPr fontId="20" type="noConversion"/>
  </si>
  <si>
    <t>殺狂魔</t>
  </si>
  <si>
    <t>凶魔</t>
    <phoneticPr fontId="20" type="noConversion"/>
  </si>
  <si>
    <t>拉庫尼女獵手</t>
  </si>
  <si>
    <t>豹人女猎手</t>
  </si>
  <si>
    <t>沙塵魔嬰</t>
  </si>
  <si>
    <t>尘土顽魔</t>
    <phoneticPr fontId="20" type="noConversion"/>
  </si>
  <si>
    <t>沙岩巨像</t>
  </si>
  <si>
    <t>沙漠巨兽</t>
  </si>
  <si>
    <t>收割魔</t>
  </si>
  <si>
    <t>骷髅袭击者</t>
  </si>
  <si>
    <t>凿脊者</t>
  </si>
  <si>
    <t>熔火构造体</t>
  </si>
  <si>
    <t>劇毒守護者</t>
  </si>
  <si>
    <t>剧毒卫士</t>
  </si>
  <si>
    <t>吐網蜘蛛</t>
  </si>
  <si>
    <t>喷网蜘蛛</t>
  </si>
  <si>
    <t>狂乱地狱犬</t>
  </si>
  <si>
    <t>恶魔震地者</t>
    <phoneticPr fontId="20" type="noConversion"/>
  </si>
  <si>
    <t>瘟疫使者</t>
  </si>
  <si>
    <t>疫病传染体</t>
  </si>
  <si>
    <t>恶魔士兵</t>
  </si>
  <si>
    <t>堕落蛮兵</t>
  </si>
  <si>
    <t>堕落地狱犬</t>
  </si>
  <si>
    <t>鲜血氏族战士</t>
  </si>
  <si>
    <t>冬禍女獵手</t>
  </si>
  <si>
    <t>霜鬓女猎手</t>
  </si>
  <si>
    <t>骷髅掠夺者</t>
  </si>
  <si>
    <t>顱骸砍劈者</t>
  </si>
  <si>
    <t>劈颅手</t>
  </si>
  <si>
    <t>暗空火妖蝠</t>
  </si>
  <si>
    <t>黑天火魔</t>
  </si>
  <si>
    <t>捶地魔</t>
  </si>
  <si>
    <t>阿玛顿</t>
  </si>
  <si>
    <t>魔鲁焚化者</t>
  </si>
  <si>
    <t>激怒的厉魂</t>
    <phoneticPr fontId="20" type="noConversion"/>
  </si>
  <si>
    <t>唤鼠师</t>
    <phoneticPr fontId="20" type="noConversion"/>
  </si>
  <si>
    <t>鞭笞爬行兽</t>
    <phoneticPr fontId="20" type="noConversion"/>
  </si>
  <si>
    <t>尖牙沼泽兽</t>
    <phoneticPr fontId="20" type="noConversion"/>
  </si>
  <si>
    <t>血魔吞噬者</t>
  </si>
  <si>
    <t>血魔吞食者</t>
    <phoneticPr fontId="20" type="noConversion"/>
  </si>
  <si>
    <t>飞翼刺杀者</t>
    <phoneticPr fontId="20" type="noConversion"/>
  </si>
  <si>
    <t>处决者</t>
    <phoneticPr fontId="20" type="noConversion"/>
  </si>
  <si>
    <t>原始食腐兽</t>
    <phoneticPr fontId="20" type="noConversion"/>
  </si>
  <si>
    <t>控尸者</t>
    <phoneticPr fontId="20" type="noConversion"/>
  </si>
  <si>
    <t>死神侍女</t>
    <phoneticPr fontId="20" type="noConversion"/>
  </si>
  <si>
    <t>亡魂盾卫</t>
    <phoneticPr fontId="20" type="noConversion"/>
  </si>
  <si>
    <t>獵犬首領</t>
  </si>
  <si>
    <t>猎犬首领</t>
    <phoneticPr fontId="20" type="noConversion"/>
  </si>
  <si>
    <t>骷髅爬行者</t>
    <phoneticPr fontId="20" type="noConversion"/>
  </si>
  <si>
    <t>蛆虫育母</t>
    <phoneticPr fontId="20" type="noConversion"/>
  </si>
  <si>
    <t>尖嘯邪巨蝠</t>
    <phoneticPr fontId="20" type="noConversion"/>
  </si>
  <si>
    <t>尖啸恐蝠</t>
    <phoneticPr fontId="20" type="noConversion"/>
  </si>
  <si>
    <t>血魔薩滿</t>
  </si>
  <si>
    <t>血肉萨满</t>
    <phoneticPr fontId="20" type="noConversion"/>
  </si>
  <si>
    <t>叛天灵</t>
    <phoneticPr fontId="20" type="noConversion"/>
  </si>
  <si>
    <t>督天灵</t>
    <phoneticPr fontId="20" type="noConversion"/>
  </si>
  <si>
    <t>鉤刺潛伏者</t>
  </si>
  <si>
    <t>勾刺潜伏者</t>
    <phoneticPr fontId="20" type="noConversion"/>
  </si>
  <si>
    <t>邪天灵</t>
    <phoneticPr fontId="20" type="noConversion"/>
  </si>
  <si>
    <t>亡魂士兵</t>
    <phoneticPr fontId="20" type="noConversion"/>
  </si>
  <si>
    <t>亡魂弓手</t>
  </si>
  <si>
    <t>食腐蝙蝠</t>
  </si>
  <si>
    <t>返世亡靈處決者</t>
  </si>
  <si>
    <t>转生处决者</t>
  </si>
  <si>
    <t>黑暗魔狼</t>
  </si>
  <si>
    <t>黑暗地狱犬</t>
  </si>
  <si>
    <t>亡者之靈</t>
  </si>
  <si>
    <t>催命恶魂</t>
  </si>
  <si>
    <t>拉庫尼狂刀手</t>
  </si>
  <si>
    <t>骸骨戰士</t>
  </si>
  <si>
    <t>電能守護者</t>
  </si>
  <si>
    <t>闪电卫士</t>
    <phoneticPr fontId="20" type="noConversion"/>
  </si>
  <si>
    <t>盘蛇欺诈者</t>
  </si>
  <si>
    <t>堕落领主</t>
  </si>
  <si>
    <t>堕落混血魔</t>
  </si>
  <si>
    <t>鲜血氏族穿心手</t>
  </si>
  <si>
    <t>黑骷髅弓手</t>
    <phoneticPr fontId="20" type="noConversion"/>
  </si>
  <si>
    <t>凶残的飞鸟</t>
  </si>
  <si>
    <t>厉鬼</t>
    <phoneticPr fontId="20" type="noConversion"/>
  </si>
  <si>
    <t>岩石巨人</t>
  </si>
  <si>
    <t>石巨人</t>
  </si>
  <si>
    <t>沙漠巨蜂</t>
  </si>
  <si>
    <t>沙漠蜂</t>
    <phoneticPr fontId="20" type="noConversion"/>
  </si>
  <si>
    <t>寒霜构造体</t>
  </si>
  <si>
    <t>鲜血氏族撕裂者</t>
  </si>
  <si>
    <t>鲜血氏族巫师</t>
  </si>
  <si>
    <t>冰刺脊魔</t>
  </si>
  <si>
    <t>寒冰刺背兽</t>
  </si>
  <si>
    <t>瘟疫蟲群</t>
  </si>
  <si>
    <t>疫病虫群</t>
  </si>
  <si>
    <t>利齒沼澤怪</t>
  </si>
  <si>
    <t>沼泽怪</t>
    <phoneticPr fontId="20" type="noConversion"/>
  </si>
  <si>
    <t>扫荡掷击兽</t>
    <phoneticPr fontId="20" type="noConversion"/>
  </si>
  <si>
    <t>邪蝠</t>
    <phoneticPr fontId="20" type="noConversion"/>
  </si>
  <si>
    <t>圣甲虫</t>
    <phoneticPr fontId="20" type="noConversion"/>
  </si>
  <si>
    <t>扫荡冲锋兽</t>
    <phoneticPr fontId="20" type="noConversion"/>
  </si>
  <si>
    <t>迅捷血肉擊打者</t>
  </si>
  <si>
    <t>迅捷的捣肉者</t>
    <phoneticPr fontId="20" type="noConversion"/>
  </si>
  <si>
    <t>凶犬</t>
    <phoneticPr fontId="20" type="noConversion"/>
  </si>
  <si>
    <t>屍王克提斯的日誌</t>
  </si>
  <si>
    <t>失心瘋言</t>
  </si>
  <si>
    <t>恐怖的秘密</t>
  </si>
  <si>
    <t>團長的公告</t>
  </si>
  <si>
    <t>國王的日誌：第一篇</t>
  </si>
  <si>
    <t>國王的日誌：第二篇</t>
  </si>
  <si>
    <t>國王寫給文頓領主的短箋</t>
  </si>
  <si>
    <t>迷失的戰士</t>
  </si>
  <si>
    <t>希碧的回憶</t>
  </si>
  <si>
    <t>瑞莎的回憶</t>
  </si>
  <si>
    <t>梅蘭娜的回憶</t>
  </si>
  <si>
    <t>南部高地</t>
  </si>
  <si>
    <t>Southern Highlands</t>
  </si>
  <si>
    <t>大教堂第一層</t>
  </si>
  <si>
    <t>Cathedral Level 1</t>
  </si>
  <si>
    <t>Cathedral Level 4</t>
  </si>
  <si>
    <t>大教堂第二層</t>
  </si>
  <si>
    <t>Cathedral Level 2</t>
  </si>
  <si>
    <t>腐潰之林</t>
  </si>
  <si>
    <t>The Festering Woods</t>
  </si>
  <si>
    <t>高地路口</t>
  </si>
  <si>
    <t>Highlands Crossing</t>
  </si>
  <si>
    <t>被亵渎的墓穴</t>
  </si>
  <si>
    <t>Defiled Crypt</t>
  </si>
  <si>
    <t>荒棄墓園</t>
  </si>
  <si>
    <t>Cemetery of The Forsaken</t>
  </si>
  <si>
    <t>悲泣荒原</t>
  </si>
  <si>
    <t>The Weeping Hollow</t>
  </si>
  <si>
    <t>悲慘之原</t>
  </si>
  <si>
    <t>Fields of Misery</t>
  </si>
  <si>
    <t>Caverns of Araneae</t>
  </si>
  <si>
    <t>李奧瑞克宅邸前庭</t>
  </si>
  <si>
    <t>Leoric's Manor Courtyard</t>
  </si>
  <si>
    <t>李奧瑞克宅邸</t>
  </si>
  <si>
    <t>Leoric;s Manor</t>
  </si>
  <si>
    <t>淒涼沙地</t>
  </si>
  <si>
    <t>Desolate Sands</t>
  </si>
  <si>
    <t>Dahlgur Oasis</t>
  </si>
  <si>
    <t>Howling Plateau</t>
  </si>
  <si>
    <t>黑谷礦坑</t>
  </si>
  <si>
    <t>Black Canyon Mines</t>
  </si>
  <si>
    <t>刺風沙漠</t>
  </si>
  <si>
    <t>Stinging Winds</t>
  </si>
  <si>
    <t>西側水道</t>
  </si>
  <si>
    <t>Western Channel</t>
  </si>
  <si>
    <t>未知深境</t>
  </si>
  <si>
    <t>The Unknown Depths</t>
  </si>
  <si>
    <t>Realm of Shadow</t>
  </si>
  <si>
    <t>The Storm Halls</t>
  </si>
  <si>
    <t>卡爾蒂姆下水道</t>
  </si>
  <si>
    <t>Sewers of Caldeum</t>
  </si>
  <si>
    <t>东侧水道</t>
  </si>
  <si>
    <t>Eastern Channel</t>
  </si>
  <si>
    <t>Alcarnus</t>
  </si>
  <si>
    <t>Road To Alcarnus</t>
    <phoneticPr fontId="20" type="noConversion"/>
  </si>
  <si>
    <t>譴罪之塔第一層</t>
  </si>
  <si>
    <t>Tower of The Damned Level 1</t>
  </si>
  <si>
    <t>亞瑞特地核</t>
  </si>
  <si>
    <t>The Core of Arreat</t>
  </si>
  <si>
    <t>要塞下層第三層</t>
  </si>
  <si>
    <t>The Keep Depths Level 3</t>
  </si>
  <si>
    <t>戰場</t>
  </si>
  <si>
    <t>The Battlefields</t>
  </si>
  <si>
    <t>天冠城垛</t>
  </si>
  <si>
    <t>Skycrown Battlements</t>
  </si>
  <si>
    <t>拉基斯路口</t>
  </si>
  <si>
    <t>Rakkis Crossing</t>
  </si>
  <si>
    <t>石壘</t>
  </si>
  <si>
    <t>Stonefort</t>
  </si>
  <si>
    <t>要塞下層第二層</t>
  </si>
  <si>
    <t>The Keep Depths Level 2</t>
  </si>
  <si>
    <t>亞瑞特巨坑第一層</t>
  </si>
  <si>
    <t>Arreat Crater Level 1</t>
  </si>
  <si>
    <t>The Bridge of Korsikk</t>
  </si>
  <si>
    <t>詛咒之塔第一層</t>
  </si>
  <si>
    <t>Tower of The Cursed Level 1</t>
  </si>
  <si>
    <t>亞瑞特巨坑第二層</t>
  </si>
  <si>
    <t>Arreat Crater Level 2</t>
  </si>
  <si>
    <t>寒霜洞窟第二層</t>
  </si>
  <si>
    <t>Caverns of Frost Level 2</t>
  </si>
  <si>
    <t>要塞下層第一層</t>
  </si>
  <si>
    <t>The Keep Depths Level 1</t>
  </si>
  <si>
    <t>譴罪之塔第二層</t>
  </si>
  <si>
    <t>Tower of The Damned Level 2</t>
  </si>
  <si>
    <t>The Silver Spire Level 1</t>
  </si>
  <si>
    <t>希望園圃第一階</t>
  </si>
  <si>
    <t>Gardens of Hope 1st Tier</t>
  </si>
  <si>
    <t>The Silver Spire Level 2</t>
  </si>
  <si>
    <t>Plague Tunnels Level 1</t>
  </si>
  <si>
    <t>血沼澤</t>
  </si>
  <si>
    <t>Blood Marsh</t>
  </si>
  <si>
    <t>溺水沼地</t>
  </si>
  <si>
    <t>Paths of the Drowned</t>
  </si>
  <si>
    <t>Passage of Corvus</t>
  </si>
  <si>
    <t>Ruins of Corvus</t>
  </si>
  <si>
    <t>混沌界要塞第一層</t>
  </si>
  <si>
    <t>Pandemonium Fortress Level 1</t>
  </si>
  <si>
    <t>Pandemonium Fortress Level 2</t>
  </si>
  <si>
    <t>Battlefields of Eternity</t>
  </si>
  <si>
    <t>永恆戰場-遣逐之境</t>
  </si>
  <si>
    <t>Realm of the Banished</t>
  </si>
  <si>
    <t>Briarthorn Cemetery</t>
  </si>
  <si>
    <t>Westmarch Commons</t>
  </si>
  <si>
    <t>衛斯馬屈山城區</t>
  </si>
  <si>
    <t>Westmarch Heights</t>
  </si>
  <si>
    <t>悲慘之原-腐朽的墓穴第一層</t>
  </si>
  <si>
    <t>殺戮戰場-寒霜洞窟</t>
  </si>
  <si>
    <t>李奧瑞克狩獵場</t>
  </si>
  <si>
    <t>達厄古綠洲-神秘的洞穴</t>
  </si>
  <si>
    <t>戰場-防禦碉堡</t>
  </si>
  <si>
    <t>戰場-戰場儲備所</t>
  </si>
  <si>
    <t>戰場-克萊德哨站</t>
  </si>
  <si>
    <t>涅法雷姆秘境</t>
  </si>
  <si>
    <t>大教堂前庭</t>
  </si>
  <si>
    <t>寇佛斯遺跡</t>
  </si>
  <si>
    <t>分类1</t>
    <phoneticPr fontId="20" type="noConversion"/>
  </si>
  <si>
    <t>分类2</t>
    <phoneticPr fontId="20" type="noConversion"/>
  </si>
  <si>
    <t>怪物</t>
    <phoneticPr fontId="20" type="noConversion"/>
  </si>
  <si>
    <t>独特怪</t>
    <phoneticPr fontId="20" type="noConversion"/>
  </si>
  <si>
    <t>编号</t>
    <phoneticPr fontId="20" type="noConversion"/>
  </si>
  <si>
    <t>=</t>
    <phoneticPr fontId="20" type="noConversion"/>
  </si>
  <si>
    <t>VLOOKUP("</t>
    <phoneticPr fontId="20" type="noConversion"/>
  </si>
  <si>
    <t>=</t>
    <phoneticPr fontId="20" type="noConversion"/>
  </si>
  <si>
    <t>VLOOKUP("</t>
    <phoneticPr fontId="20" type="noConversion"/>
  </si>
  <si>
    <t>繁體中文</t>
    <phoneticPr fontId="12" type="noConversion"/>
  </si>
  <si>
    <t>简体中文</t>
    <phoneticPr fontId="12" type="noConversion"/>
  </si>
  <si>
    <t>精英怪</t>
    <phoneticPr fontId="20" type="noConversion"/>
  </si>
  <si>
    <t>A1</t>
    <phoneticPr fontId="20" type="noConversion"/>
  </si>
  <si>
    <t>A2</t>
    <phoneticPr fontId="20" type="noConversion"/>
  </si>
  <si>
    <t>A2</t>
  </si>
  <si>
    <t>A3</t>
    <phoneticPr fontId="20" type="noConversion"/>
  </si>
  <si>
    <t>A4</t>
    <phoneticPr fontId="20" type="noConversion"/>
  </si>
  <si>
    <t>A5</t>
    <phoneticPr fontId="20" type="noConversion"/>
  </si>
  <si>
    <t>A1</t>
    <phoneticPr fontId="20" type="noConversion"/>
  </si>
  <si>
    <t>A5</t>
    <phoneticPr fontId="20" type="noConversion"/>
  </si>
  <si>
    <t>A4</t>
  </si>
  <si>
    <t>A1</t>
    <phoneticPr fontId="20" type="noConversion"/>
  </si>
  <si>
    <r>
      <t>A1</t>
    </r>
    <r>
      <rPr>
        <sz val="11"/>
        <color indexed="8"/>
        <rFont val="宋体"/>
        <family val="3"/>
        <charset val="134"/>
      </rPr>
      <t/>
    </r>
  </si>
  <si>
    <t>A1</t>
    <phoneticPr fontId="20" type="noConversion"/>
  </si>
  <si>
    <t>A2</t>
    <phoneticPr fontId="20" type="noConversion"/>
  </si>
  <si>
    <r>
      <t>A2</t>
    </r>
    <r>
      <rPr>
        <sz val="11"/>
        <color indexed="8"/>
        <rFont val="宋体"/>
        <family val="3"/>
        <charset val="134"/>
      </rPr>
      <t/>
    </r>
  </si>
  <si>
    <t>A4</t>
    <phoneticPr fontId="20" type="noConversion"/>
  </si>
  <si>
    <r>
      <t>A4</t>
    </r>
    <r>
      <rPr>
        <sz val="11"/>
        <color indexed="8"/>
        <rFont val="宋体"/>
        <family val="3"/>
        <charset val="134"/>
      </rPr>
      <t/>
    </r>
  </si>
  <si>
    <t>A5</t>
    <phoneticPr fontId="20" type="noConversion"/>
  </si>
  <si>
    <r>
      <t>A5</t>
    </r>
    <r>
      <rPr>
        <sz val="11"/>
        <color indexed="8"/>
        <rFont val="宋体"/>
        <family val="3"/>
        <charset val="134"/>
      </rPr>
      <t/>
    </r>
  </si>
  <si>
    <r>
      <t>德卢瑞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布朗</t>
    </r>
    <phoneticPr fontId="20" type="noConversion"/>
  </si>
  <si>
    <r>
      <t>恐爪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跃行者</t>
    </r>
    <phoneticPr fontId="20" type="noConversion"/>
  </si>
  <si>
    <r>
      <t>莫瑞姆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棘颅</t>
    </r>
    <phoneticPr fontId="20" type="noConversion"/>
  </si>
  <si>
    <r>
      <t>拉斯林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寡妇制造者</t>
    </r>
    <phoneticPr fontId="20" type="noConversion"/>
  </si>
  <si>
    <r>
      <t>库拉什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被唾弃者</t>
    </r>
    <phoneticPr fontId="20" type="noConversion"/>
  </si>
  <si>
    <r>
      <t>埃比尼泽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撒母耳</t>
    </r>
    <phoneticPr fontId="20" type="noConversion"/>
  </si>
  <si>
    <r>
      <t>萨哈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鞭笞者</t>
    </r>
    <phoneticPr fontId="20" type="noConversion"/>
  </si>
  <si>
    <r>
      <t>墨沙克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天谴之躯</t>
    </r>
    <phoneticPr fontId="20" type="noConversion"/>
  </si>
  <si>
    <r>
      <t>埃克斯格雷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处决者</t>
    </r>
    <phoneticPr fontId="20" type="noConversion"/>
  </si>
  <si>
    <r>
      <t>贝拉戈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穿肉手</t>
    </r>
    <phoneticPr fontId="20" type="noConversion"/>
  </si>
  <si>
    <r>
      <t>斯拉格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巨兽</t>
    </r>
    <phoneticPr fontId="20" type="noConversion"/>
  </si>
  <si>
    <r>
      <t>萨奥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索</t>
    </r>
    <phoneticPr fontId="20" type="noConversion"/>
  </si>
  <si>
    <r>
      <t>拉乌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卡耶</t>
    </r>
    <phoneticPr fontId="20" type="noConversion"/>
  </si>
  <si>
    <r>
      <t>维克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塔波克</t>
    </r>
    <phoneticPr fontId="20" type="noConversion"/>
  </si>
  <si>
    <r>
      <t>维克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马鲁</t>
    </r>
  </si>
  <si>
    <r>
      <t>纳克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萨鲁格</t>
    </r>
  </si>
  <si>
    <r>
      <t>纳克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库金</t>
    </r>
  </si>
  <si>
    <r>
      <t>巴里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哈塔</t>
    </r>
  </si>
  <si>
    <r>
      <t>斯拉斯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掘洞者</t>
    </r>
  </si>
  <si>
    <r>
      <t>布拉斯克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掘洞者</t>
    </r>
  </si>
  <si>
    <r>
      <t>达尔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霍松</t>
    </r>
  </si>
  <si>
    <r>
      <t>伊格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斯塔弗斯</t>
    </r>
  </si>
  <si>
    <r>
      <t>西奥多西娅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布赫雷</t>
    </r>
  </si>
  <si>
    <r>
      <t>苏玛瑞斯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天谴者</t>
    </r>
  </si>
  <si>
    <r>
      <t>潘</t>
    </r>
    <r>
      <rPr>
        <sz val="10"/>
        <color indexed="8"/>
        <rFont val="MingLiU"/>
        <family val="3"/>
        <charset val="136"/>
      </rPr>
      <t>‧</t>
    </r>
    <r>
      <rPr>
        <sz val="10"/>
        <color indexed="8"/>
        <rFont val="宋体"/>
        <family val="3"/>
        <charset val="134"/>
      </rPr>
      <t>菲兹贝恩</t>
    </r>
  </si>
  <si>
    <t>书籍</t>
    <phoneticPr fontId="20" type="noConversion"/>
  </si>
  <si>
    <t>☆数据暂缺☆</t>
  </si>
  <si>
    <t>克迪斯勋爵的日志</t>
  </si>
  <si>
    <t>失心疯言</t>
  </si>
  <si>
    <t>可怕的秘密</t>
  </si>
  <si>
    <t>大团长的谕令</t>
  </si>
  <si>
    <t>国王的日志一</t>
  </si>
  <si>
    <t>国王的日志二</t>
  </si>
  <si>
    <t>国王寄给怀顿勋爵的信</t>
  </si>
  <si>
    <t>艾德莉亚的日志一～九</t>
  </si>
  <si>
    <t>拉基斯的誓约一～九</t>
  </si>
  <si>
    <t>伊纳瑞斯的证词一～七</t>
  </si>
  <si>
    <t>莉莉丝的笔记一～四</t>
  </si>
  <si>
    <t>失落的战士</t>
  </si>
  <si>
    <t>席碧尔的回忆</t>
  </si>
  <si>
    <t>雷萨的回忆</t>
  </si>
  <si>
    <t>梅莱娜的回忆</t>
  </si>
  <si>
    <t>最后一位先祖</t>
  </si>
  <si>
    <t>灭魂仪</t>
  </si>
  <si>
    <t>马萨伊尔的计划</t>
  </si>
  <si>
    <t>大团长的日志</t>
  </si>
  <si>
    <t>守财奴的遗嘱</t>
  </si>
  <si>
    <t>威斯特玛之魂</t>
  </si>
  <si>
    <t>厄兹尔的陷阱</t>
  </si>
  <si>
    <t>艾德莉亚的笔记</t>
  </si>
  <si>
    <t>智慧之道一～六</t>
  </si>
  <si>
    <t>威斯特玛史一</t>
  </si>
  <si>
    <t>威斯特玛史二</t>
  </si>
  <si>
    <t>威斯特玛史三</t>
  </si>
  <si>
    <t>威斯特玛史四</t>
  </si>
  <si>
    <t>威斯特玛史五</t>
  </si>
  <si>
    <t>威斯特玛史六</t>
  </si>
  <si>
    <t>威斯特玛史七</t>
  </si>
  <si>
    <t>逃兵的日志一～五</t>
  </si>
  <si>
    <t>混沌界史一～四</t>
  </si>
  <si>
    <t>发现庇护之地一～三</t>
  </si>
  <si>
    <t>厄兹尔的日志一～三</t>
    <phoneticPr fontId="20" type="noConversion"/>
  </si>
  <si>
    <t>厄傑爾的日誌：第一～三篇</t>
    <phoneticPr fontId="20" type="noConversion"/>
  </si>
  <si>
    <t>愛德莉雅的日誌：第一～九篇</t>
    <phoneticPr fontId="20" type="noConversion"/>
  </si>
  <si>
    <t>拉基斯的日誌：第一～九篇</t>
    <phoneticPr fontId="20" type="noConversion"/>
  </si>
  <si>
    <t>伊納瑞斯的證言：第一～七篇</t>
    <phoneticPr fontId="20" type="noConversion"/>
  </si>
  <si>
    <t>莉莉絲的記事：第一～四篇</t>
    <phoneticPr fontId="20" type="noConversion"/>
  </si>
  <si>
    <t>智慧之道：第一～六篇</t>
    <phoneticPr fontId="20" type="noConversion"/>
  </si>
  <si>
    <t>逃兵的日誌：第一～五篇</t>
    <phoneticPr fontId="20" type="noConversion"/>
  </si>
  <si>
    <t>混沌界的歷史：第一～四篇</t>
    <phoneticPr fontId="20" type="noConversion"/>
  </si>
  <si>
    <t>發現聖休亞瑞：第一～三篇</t>
    <phoneticPr fontId="20" type="noConversion"/>
  </si>
  <si>
    <t>大地图</t>
    <phoneticPr fontId="20" type="noConversion"/>
  </si>
  <si>
    <t>舊鎮道路</t>
    <phoneticPr fontId="20" type="noConversion"/>
  </si>
  <si>
    <t>Old Tristram Road</t>
    <phoneticPr fontId="20" type="noConversion"/>
  </si>
  <si>
    <t>李奧瑞克狩獵場-高地洞穴</t>
  </si>
  <si>
    <t>達厄古綠洲-沙爾達陵墓</t>
  </si>
  <si>
    <t>詛咒之塔第二層</t>
  </si>
  <si>
    <t>亞瑞特之門-兵營第一層</t>
  </si>
  <si>
    <t>戰場-前線兵營</t>
  </si>
  <si>
    <t>悲慘之原-失落礦洞</t>
  </si>
  <si>
    <t>大教堂第三層</t>
  </si>
  <si>
    <t>東側水道</t>
  </si>
  <si>
    <t>刺風沙漠-失落塑像之室</t>
  </si>
  <si>
    <t>殺戮戰場</t>
  </si>
  <si>
    <t>科斯克橋</t>
  </si>
  <si>
    <t>拉基斯路口-橋底地窖</t>
  </si>
  <si>
    <t>南部高地-書院</t>
  </si>
  <si>
    <t>要塞下層</t>
  </si>
  <si>
    <t>達厄古綠洲-古老的洞穴</t>
  </si>
  <si>
    <t>達厄古綠洲-積水的洞穴</t>
  </si>
  <si>
    <t>出土廢墟第一層</t>
  </si>
  <si>
    <t>衛斯馬屈城中區-瘟疫地道第一層</t>
    <phoneticPr fontId="20" type="noConversion"/>
  </si>
  <si>
    <t>A5</t>
    <phoneticPr fontId="20" type="noConversion"/>
  </si>
  <si>
    <t>悲慘之原</t>
    <phoneticPr fontId="20" type="noConversion"/>
  </si>
  <si>
    <t>淒涼沙地-刺客地庫</t>
  </si>
  <si>
    <t>荒棄墓園-被褻瀆的墓穴</t>
    <phoneticPr fontId="20" type="noConversion"/>
  </si>
  <si>
    <t>A1</t>
    <phoneticPr fontId="20" type="noConversion"/>
  </si>
  <si>
    <t>A1</t>
    <phoneticPr fontId="20" type="noConversion"/>
  </si>
  <si>
    <t>A2</t>
    <phoneticPr fontId="20" type="noConversion"/>
  </si>
  <si>
    <t>淒涼沙地-兇邪的洞穴</t>
    <phoneticPr fontId="20" type="noConversion"/>
  </si>
  <si>
    <t>A3</t>
    <phoneticPr fontId="20" type="noConversion"/>
  </si>
  <si>
    <t>A4</t>
    <phoneticPr fontId="20" type="noConversion"/>
  </si>
  <si>
    <t>A3</t>
    <phoneticPr fontId="20" type="noConversion"/>
  </si>
  <si>
    <t>全章节</t>
    <phoneticPr fontId="20" type="noConversion"/>
  </si>
  <si>
    <t>A3</t>
    <phoneticPr fontId="20" type="noConversion"/>
  </si>
  <si>
    <t>南部高地-瞭望塔/書院</t>
    <phoneticPr fontId="20" type="noConversion"/>
  </si>
  <si>
    <t>The Bridge of Korsikk</t>
    <phoneticPr fontId="20" type="noConversion"/>
  </si>
  <si>
    <t>衛斯馬屈山城區-瘋狂之屋</t>
    <phoneticPr fontId="20" type="noConversion"/>
  </si>
  <si>
    <t>衛斯馬屈山城區-骸骨地窖第二層</t>
    <phoneticPr fontId="20" type="noConversion"/>
  </si>
  <si>
    <t>衛斯馬屈山城區-克萊夫頓大廳</t>
    <phoneticPr fontId="20" type="noConversion"/>
  </si>
  <si>
    <t>溺水沼地-曲折洞穴</t>
    <phoneticPr fontId="20" type="noConversion"/>
  </si>
  <si>
    <t>溺水沼地-兇險洞窟第二層</t>
    <phoneticPr fontId="20" type="noConversion"/>
  </si>
  <si>
    <t>溺水沼地-兇險洞窟第一層</t>
    <phoneticPr fontId="20" type="noConversion"/>
  </si>
  <si>
    <t>衛斯馬屈城中區-文頓庭院</t>
    <phoneticPr fontId="20" type="noConversion"/>
  </si>
  <si>
    <t>寇佛斯遺跡</t>
    <phoneticPr fontId="20" type="noConversion"/>
  </si>
  <si>
    <t>衛斯馬屈城中區-遇襲的宅邸</t>
    <phoneticPr fontId="20" type="noConversion"/>
  </si>
  <si>
    <t>衛斯馬屈城中區-基甸街</t>
    <phoneticPr fontId="20" type="noConversion"/>
  </si>
  <si>
    <t>Cathedral Level 4</t>
    <phoneticPr fontId="20" type="noConversion"/>
  </si>
  <si>
    <t>Cathedral Level 3</t>
    <phoneticPr fontId="20" type="noConversion"/>
  </si>
  <si>
    <t>南部高地-瞭望塔</t>
    <phoneticPr fontId="20" type="noConversion"/>
  </si>
  <si>
    <t>南部高地</t>
    <phoneticPr fontId="20" type="noConversion"/>
  </si>
  <si>
    <t>Gardens of Hope 1st Tier</t>
    <phoneticPr fontId="20" type="noConversion"/>
  </si>
  <si>
    <t>Gardens of Hope 2nd Tier</t>
    <phoneticPr fontId="20" type="noConversion"/>
  </si>
  <si>
    <t>☆数据暂缺☆</t>
    <phoneticPr fontId="20" type="noConversion"/>
  </si>
  <si>
    <t>☆数据暂缺☆</t>
    <phoneticPr fontId="20" type="noConversion"/>
  </si>
  <si>
    <t>地图</t>
    <phoneticPr fontId="20" type="noConversion"/>
  </si>
  <si>
    <t>地下城</t>
    <phoneticPr fontId="20" type="noConversion"/>
  </si>
  <si>
    <t>佐敦庫勒秘庫-未知深境</t>
    <phoneticPr fontId="20" type="noConversion"/>
  </si>
  <si>
    <t>蛛后洞窟</t>
  </si>
  <si>
    <t>苦难旷野</t>
  </si>
  <si>
    <t>苦难旷野-食腐魔洞穴</t>
    <phoneticPr fontId="20" type="noConversion"/>
  </si>
  <si>
    <t>哭泣山谷</t>
    <phoneticPr fontId="20" type="noConversion"/>
  </si>
  <si>
    <t>大教堂二层</t>
  </si>
  <si>
    <t>大教堂三层</t>
    <phoneticPr fontId="20" type="noConversion"/>
  </si>
  <si>
    <t>大教堂四层</t>
    <phoneticPr fontId="20" type="noConversion"/>
  </si>
  <si>
    <t>大教堂一层</t>
    <phoneticPr fontId="20" type="noConversion"/>
  </si>
  <si>
    <t>烂木林</t>
    <phoneticPr fontId="20" type="noConversion"/>
  </si>
  <si>
    <t>烂木林-勇士之陵</t>
  </si>
  <si>
    <t>荒废的墓地</t>
    <phoneticPr fontId="20" type="noConversion"/>
  </si>
  <si>
    <t>旧崔斯特姆小道</t>
    <phoneticPr fontId="20" type="noConversion"/>
  </si>
  <si>
    <t>李奧瑞克的狩猎场</t>
    <phoneticPr fontId="20" type="noConversion"/>
  </si>
  <si>
    <t>李奧瑞克的狩猎场-高地洞穴</t>
    <phoneticPr fontId="20" type="noConversion"/>
  </si>
  <si>
    <t>李奧瑞克庄园</t>
    <phoneticPr fontId="20" type="noConversion"/>
  </si>
  <si>
    <t>李奧瑞克庄园庭院</t>
    <phoneticPr fontId="20" type="noConversion"/>
  </si>
  <si>
    <t>南方高地</t>
    <phoneticPr fontId="20" type="noConversion"/>
  </si>
  <si>
    <t>南方高地-高地哨塔</t>
    <phoneticPr fontId="20" type="noConversion"/>
  </si>
  <si>
    <t>南方高地-高地哨塔/传教所</t>
    <phoneticPr fontId="20" type="noConversion"/>
  </si>
  <si>
    <t>南方高地-传教所</t>
    <phoneticPr fontId="20" type="noConversion"/>
  </si>
  <si>
    <t>诅咒监牢</t>
    <phoneticPr fontId="20" type="noConversion"/>
  </si>
  <si>
    <t>阿尔卡纳斯</t>
    <phoneticPr fontId="20" type="noConversion"/>
  </si>
  <si>
    <t>阿尔卡纳斯之路</t>
    <phoneticPr fontId="20" type="noConversion"/>
  </si>
  <si>
    <t>烈风之地</t>
    <phoneticPr fontId="20" type="noConversion"/>
  </si>
  <si>
    <t>烈风之地-废墟</t>
    <phoneticPr fontId="20" type="noConversion"/>
  </si>
  <si>
    <t>烈风之地-失落人偶的密厅</t>
    <phoneticPr fontId="20" type="noConversion"/>
  </si>
  <si>
    <t>达尔格绿洲-坎·达卡布的陵墓</t>
    <phoneticPr fontId="20" type="noConversion"/>
  </si>
  <si>
    <t>达尔格绿洲-远古洞穴</t>
    <phoneticPr fontId="20" type="noConversion"/>
  </si>
  <si>
    <t>达尔格绿洲-漫水洞穴</t>
    <phoneticPr fontId="20" type="noConversion"/>
  </si>
  <si>
    <t>达尔格绿洲-神秘洞穴</t>
    <phoneticPr fontId="20" type="noConversion"/>
  </si>
  <si>
    <t>达尔格绿洲-被遗忘的废墟</t>
    <phoneticPr fontId="20" type="noConversion"/>
  </si>
  <si>
    <t>东部水渠</t>
    <phoneticPr fontId="20" type="noConversion"/>
  </si>
  <si>
    <t>凄风苔原</t>
    <phoneticPr fontId="20" type="noConversion"/>
  </si>
  <si>
    <t>凄风苔原-热风洞窟</t>
    <phoneticPr fontId="20" type="noConversion"/>
  </si>
  <si>
    <t>崖山矿场</t>
    <phoneticPr fontId="20" type="noConversion"/>
  </si>
  <si>
    <t>卡爾蒂姆市集-廢棄水道</t>
    <phoneticPr fontId="20" type="noConversion"/>
  </si>
  <si>
    <t>卡尔蒂姆集市-被淹没的堤道</t>
    <phoneticPr fontId="20" type="noConversion"/>
  </si>
  <si>
    <t>卡尔蒂姆下水道</t>
    <phoneticPr fontId="20" type="noConversion"/>
  </si>
  <si>
    <t>凄凉沙漠</t>
    <phoneticPr fontId="20" type="noConversion"/>
  </si>
  <si>
    <t>凄凉沙漠-背叛者洞穴</t>
    <phoneticPr fontId="20" type="noConversion"/>
  </si>
  <si>
    <t>凄凉沙漠-刺客密室</t>
    <phoneticPr fontId="20" type="noConversion"/>
  </si>
  <si>
    <t>淒涼沙地-鑽岩蟲洞穴</t>
    <phoneticPr fontId="20" type="noConversion"/>
  </si>
  <si>
    <t>凄凉沙漠-掘地骇物的洞穴</t>
    <phoneticPr fontId="20" type="noConversion"/>
  </si>
  <si>
    <t>凄凉沙漠-邪恶洞窟</t>
    <phoneticPr fontId="20" type="noConversion"/>
  </si>
  <si>
    <t>碎石谷</t>
    <phoneticPr fontId="20" type="noConversion"/>
  </si>
  <si>
    <t>破碎峡谷</t>
    <phoneticPr fontId="20" type="noConversion"/>
  </si>
  <si>
    <t>西部水渠</t>
    <phoneticPr fontId="20" type="noConversion"/>
  </si>
  <si>
    <t>佐敦·库勒藏书馆-风暴殿堂</t>
    <phoneticPr fontId="20" type="noConversion"/>
  </si>
  <si>
    <t>佐敦·库勒藏书馆-风暴殿堂（仅在沉沦魔场景出现）</t>
    <phoneticPr fontId="20" type="noConversion"/>
  </si>
  <si>
    <t>佐敦·库勒藏书馆-无底深渊</t>
    <phoneticPr fontId="20" type="noConversion"/>
  </si>
  <si>
    <t>科尔斯克之桥</t>
    <phoneticPr fontId="20" type="noConversion"/>
  </si>
  <si>
    <t>拉基斯之渡</t>
    <phoneticPr fontId="20" type="noConversion"/>
  </si>
  <si>
    <t>天谴者之塔二层</t>
    <phoneticPr fontId="20" type="noConversion"/>
  </si>
  <si>
    <t>天谴者之塔一层</t>
    <phoneticPr fontId="20" type="noConversion"/>
  </si>
  <si>
    <t>拉基斯之渡-大桥储藏室</t>
    <phoneticPr fontId="20" type="noConversion"/>
  </si>
  <si>
    <t>血腥战场</t>
    <phoneticPr fontId="20" type="noConversion"/>
  </si>
  <si>
    <t>血腥战场-寒冰洞</t>
    <phoneticPr fontId="20" type="noConversion"/>
  </si>
  <si>
    <t>深淵之緣</t>
    <phoneticPr fontId="20" type="noConversion"/>
  </si>
  <si>
    <t>深渊的尽头</t>
    <phoneticPr fontId="20" type="noConversion"/>
  </si>
  <si>
    <t>坚石壁垒</t>
    <phoneticPr fontId="20" type="noConversion"/>
  </si>
  <si>
    <t>天冠城垛</t>
    <phoneticPr fontId="20" type="noConversion"/>
  </si>
  <si>
    <t>亚瑞特核心</t>
    <phoneticPr fontId="20" type="noConversion"/>
  </si>
  <si>
    <t>亚瑞特巨坑二层</t>
    <phoneticPr fontId="20" type="noConversion"/>
  </si>
  <si>
    <t>亚瑞特巨坑一层</t>
    <phoneticPr fontId="20" type="noConversion"/>
  </si>
  <si>
    <t>亞瑞特之門-兵營</t>
    <phoneticPr fontId="20" type="noConversion"/>
  </si>
  <si>
    <t>亚瑞特大门-营房</t>
    <phoneticPr fontId="20" type="noConversion"/>
  </si>
  <si>
    <t>亚瑞特大门-营房一层</t>
    <phoneticPr fontId="20" type="noConversion"/>
  </si>
  <si>
    <t>要塞深渊</t>
    <phoneticPr fontId="20" type="noConversion"/>
  </si>
  <si>
    <t>要塞深渊二层</t>
    <phoneticPr fontId="20" type="noConversion"/>
  </si>
  <si>
    <t>要塞深渊三层</t>
    <phoneticPr fontId="20" type="noConversion"/>
  </si>
  <si>
    <t>要塞深渊一层</t>
    <phoneticPr fontId="20" type="noConversion"/>
  </si>
  <si>
    <t>战场</t>
    <phoneticPr fontId="20" type="noConversion"/>
  </si>
  <si>
    <t>战场-克莱德的哨所</t>
    <phoneticPr fontId="20" type="noConversion"/>
  </si>
  <si>
    <t>战场-战备物资储藏室</t>
    <phoneticPr fontId="20" type="noConversion"/>
  </si>
  <si>
    <t>诅咒者之塔二层</t>
    <phoneticPr fontId="20" type="noConversion"/>
  </si>
  <si>
    <t>诅咒者之塔一层</t>
    <phoneticPr fontId="20" type="noConversion"/>
  </si>
  <si>
    <t>Tower of The Cursed Level 2</t>
    <phoneticPr fontId="20" type="noConversion"/>
  </si>
  <si>
    <t>希望園圃第一階</t>
    <phoneticPr fontId="20" type="noConversion"/>
  </si>
  <si>
    <t>希望園圃第二階-聖德會堂</t>
    <phoneticPr fontId="20" type="noConversion"/>
  </si>
  <si>
    <t>希望園圃第二階</t>
    <phoneticPr fontId="20" type="noConversion"/>
  </si>
  <si>
    <t>希望花园二层</t>
    <phoneticPr fontId="20" type="noConversion"/>
  </si>
  <si>
    <t>银色高塔二层</t>
    <phoneticPr fontId="20" type="noConversion"/>
  </si>
  <si>
    <t>银色高塔一层</t>
    <phoneticPr fontId="20" type="noConversion"/>
  </si>
  <si>
    <t>希望花园一层</t>
    <phoneticPr fontId="20" type="noConversion"/>
  </si>
  <si>
    <t>棘草墓园</t>
  </si>
  <si>
    <t>出土废墟一层</t>
    <phoneticPr fontId="20" type="noConversion"/>
  </si>
  <si>
    <t>大教堂前庭</t>
    <phoneticPr fontId="20" type="noConversion"/>
  </si>
  <si>
    <t>攻城哨站</t>
    <phoneticPr fontId="20" type="noConversion"/>
  </si>
  <si>
    <t>攻城前哨站</t>
    <phoneticPr fontId="20" type="noConversion"/>
  </si>
  <si>
    <t>混沌要塞</t>
    <phoneticPr fontId="20" type="noConversion"/>
  </si>
  <si>
    <t>混沌要塞二层</t>
    <phoneticPr fontId="20" type="noConversion"/>
  </si>
  <si>
    <t>混沌要塞一层</t>
    <phoneticPr fontId="20" type="noConversion"/>
  </si>
  <si>
    <t>Pandemonium Fortress Level 1</t>
    <phoneticPr fontId="20" type="noConversion"/>
  </si>
  <si>
    <t>Pandemonium Fortress</t>
  </si>
  <si>
    <t>往科乌斯之路</t>
    <phoneticPr fontId="20" type="noConversion"/>
  </si>
  <si>
    <t>科乌斯废墟</t>
    <phoneticPr fontId="20" type="noConversion"/>
  </si>
  <si>
    <t>科乌斯废墟-宏伟大殿</t>
    <phoneticPr fontId="20" type="noConversion"/>
  </si>
  <si>
    <t>難民收容所</t>
    <phoneticPr fontId="20" type="noConversion"/>
  </si>
  <si>
    <t>幸存者避难营</t>
    <phoneticPr fontId="20" type="noConversion"/>
  </si>
  <si>
    <t>漫水古道</t>
    <phoneticPr fontId="20" type="noConversion"/>
  </si>
  <si>
    <t>漫水古道-卢雷石洞</t>
    <phoneticPr fontId="20" type="noConversion"/>
  </si>
  <si>
    <t>漫水古道-卢雷石洞二层</t>
    <phoneticPr fontId="20" type="noConversion"/>
  </si>
  <si>
    <t>漫水古道-卢雷石洞一层</t>
    <phoneticPr fontId="20" type="noConversion"/>
  </si>
  <si>
    <t>漫水古道-羊肠洞穴</t>
    <phoneticPr fontId="20" type="noConversion"/>
  </si>
  <si>
    <t>漫水古道-凶险洞穴</t>
    <phoneticPr fontId="20" type="noConversion"/>
  </si>
  <si>
    <t>漫水古道-凶险洞穴二层</t>
    <phoneticPr fontId="20" type="noConversion"/>
  </si>
  <si>
    <t>漫水古道-凶险洞穴一层</t>
    <phoneticPr fontId="20" type="noConversion"/>
  </si>
  <si>
    <t>萨卡兰姆大教堂</t>
    <phoneticPr fontId="20" type="noConversion"/>
  </si>
  <si>
    <t>聖堂騎士團秘密據點</t>
    <phoneticPr fontId="20" type="noConversion"/>
  </si>
  <si>
    <t>圣殿骑士团秘密据点</t>
    <phoneticPr fontId="20" type="noConversion"/>
  </si>
  <si>
    <t>威斯特玛城中区</t>
    <phoneticPr fontId="20" type="noConversion"/>
  </si>
  <si>
    <t>威斯特玛上城区</t>
    <phoneticPr fontId="20" type="noConversion"/>
  </si>
  <si>
    <t>鲜血沼泽</t>
    <phoneticPr fontId="20" type="noConversion"/>
  </si>
  <si>
    <t>永恆戰場-遣逐之境</t>
    <phoneticPr fontId="20" type="noConversion"/>
  </si>
  <si>
    <t>永恒战场</t>
    <phoneticPr fontId="20" type="noConversion"/>
  </si>
  <si>
    <t>永恒战场-放逐之境</t>
    <phoneticPr fontId="20" type="noConversion"/>
  </si>
  <si>
    <t>預言者巢穴第一層</t>
    <phoneticPr fontId="20" type="noConversion"/>
  </si>
  <si>
    <t>☆数据暂缺☆</t>
    <phoneticPr fontId="20" type="noConversion"/>
  </si>
  <si>
    <t>先知的巢穴一层</t>
    <phoneticPr fontId="20" type="noConversion"/>
  </si>
  <si>
    <t>威斯特玛城中区-吉迪恩大街</t>
    <phoneticPr fontId="20" type="noConversion"/>
  </si>
  <si>
    <t>威斯特玛城中区-深悲之屋</t>
    <phoneticPr fontId="20" type="noConversion"/>
  </si>
  <si>
    <t>威斯特玛城中区-守财奴的小屋</t>
    <phoneticPr fontId="20" type="noConversion"/>
  </si>
  <si>
    <t>威斯特玛城中区-瘟疫地道二层</t>
    <phoneticPr fontId="20" type="noConversion"/>
  </si>
  <si>
    <t>威斯特玛城中区-瘟疫地道一层</t>
    <phoneticPr fontId="20" type="noConversion"/>
  </si>
  <si>
    <t>威斯特玛城中区-怀顿庭院</t>
    <phoneticPr fontId="20" type="noConversion"/>
  </si>
  <si>
    <t>威斯特玛城中区-遇袭的宅邸</t>
    <phoneticPr fontId="20" type="noConversion"/>
  </si>
  <si>
    <t>威斯特玛上城区-疯狂之屋</t>
    <phoneticPr fontId="20" type="noConversion"/>
  </si>
  <si>
    <t>威斯特玛上城区-骸骨地窖一层</t>
    <phoneticPr fontId="20" type="noConversion"/>
  </si>
  <si>
    <t>威斯特玛上城区-克里夫顿大厅</t>
    <phoneticPr fontId="20" type="noConversion"/>
  </si>
  <si>
    <t>舊鎮道路</t>
    <phoneticPr fontId="20" type="noConversion"/>
  </si>
  <si>
    <t>Old Tristram Road</t>
    <phoneticPr fontId="20" type="noConversion"/>
  </si>
  <si>
    <t>奧卡納斯之路</t>
    <phoneticPr fontId="20" type="noConversion"/>
  </si>
  <si>
    <t>Road To Alcarnus</t>
    <phoneticPr fontId="20" type="noConversion"/>
  </si>
  <si>
    <t>殺戮戰場-寒霜洞窟第二層</t>
    <phoneticPr fontId="20" type="noConversion"/>
  </si>
  <si>
    <t>☆</t>
  </si>
  <si>
    <t>☆</t>
    <phoneticPr fontId="7" type="noConversion"/>
  </si>
  <si>
    <t>地点（☆表示可以通过专门的悬赏任务击杀）</t>
    <phoneticPr fontId="7" type="noConversion"/>
  </si>
  <si>
    <t>石壘</t>
    <phoneticPr fontId="20" type="noConversion"/>
  </si>
  <si>
    <t>嚎泣高原</t>
    <phoneticPr fontId="20" type="noConversion"/>
  </si>
  <si>
    <t>黑谷礦坑</t>
    <phoneticPr fontId="20" type="noConversion"/>
  </si>
  <si>
    <t>刺風沙漠</t>
    <phoneticPr fontId="20" type="noConversion"/>
  </si>
  <si>
    <t>淒涼沙地</t>
    <phoneticPr fontId="20" type="noConversion"/>
  </si>
  <si>
    <t>拉基斯路口-大橋儲藏間</t>
    <phoneticPr fontId="20" type="noConversion"/>
  </si>
  <si>
    <t>荒棄墓園</t>
    <phoneticPr fontId="20" type="noConversion"/>
  </si>
  <si>
    <t>腐潰之林-勇士之陵</t>
    <phoneticPr fontId="20" type="noConversion"/>
  </si>
  <si>
    <t>溺水沼地-盧瑞石洞第二層</t>
    <phoneticPr fontId="20" type="noConversion"/>
  </si>
  <si>
    <t>溺水沼地-盧瑞石洞</t>
    <phoneticPr fontId="20" type="noConversion"/>
  </si>
  <si>
    <t>衛斯馬屈城中區-瘟疫地道第二層</t>
    <phoneticPr fontId="20" type="noConversion"/>
  </si>
  <si>
    <t>溺水沼地-盧瑞石洞第一層</t>
    <phoneticPr fontId="20" type="noConversion"/>
  </si>
  <si>
    <t>巨拳領主</t>
  </si>
  <si>
    <t>大教堂第一層</t>
    <phoneticPr fontId="20" type="noConversion"/>
  </si>
  <si>
    <t>悲慘之原-食腐獸窩巢</t>
    <phoneticPr fontId="20" type="noConversion"/>
  </si>
  <si>
    <t>佐敦庫勒秘庫-風暴長廊</t>
    <phoneticPr fontId="20" type="noConversion"/>
  </si>
  <si>
    <t>詛咒監牢</t>
    <phoneticPr fontId="20" type="noConversion"/>
  </si>
  <si>
    <t>佐敦庫勒秘庫-風暴長廊（僅在沉淪魔場景出現）</t>
  </si>
  <si>
    <t>愛德莉亞的日誌</t>
  </si>
  <si>
    <t>拉克達南的卷軸：第一卷</t>
  </si>
  <si>
    <t>拉克達南的卷軸：第二卷</t>
  </si>
  <si>
    <t>拉克達南的卷軸：第三卷</t>
  </si>
  <si>
    <t>拉克達南的卷軸：第四卷</t>
  </si>
  <si>
    <t>拉克達南的卷軸：第五卷</t>
  </si>
  <si>
    <t>莉亞的日誌：第一篇</t>
  </si>
  <si>
    <t>莉亞的日誌：第二篇</t>
  </si>
  <si>
    <t>莉亞的日誌：第三篇</t>
  </si>
  <si>
    <t>莉亞的日誌：第四篇</t>
  </si>
  <si>
    <t>莉亞的日誌：第五篇</t>
  </si>
  <si>
    <t>莉亞的日誌：第六篇</t>
  </si>
  <si>
    <t>莉亞的日誌：第七篇</t>
  </si>
  <si>
    <t>李奧瑞克的日誌：第一篇</t>
  </si>
  <si>
    <t>李奧瑞克的日誌：第二篇</t>
  </si>
  <si>
    <t>李奧瑞克的日誌：第三篇</t>
  </si>
  <si>
    <t>李奧瑞克的日誌：第四篇</t>
  </si>
  <si>
    <t>李奧瑞克的日誌：第五篇</t>
  </si>
  <si>
    <t>農夫的日誌</t>
  </si>
  <si>
    <t>防禦者塔力克的劍鞘</t>
  </si>
  <si>
    <t>迪卡·凱恩的日誌：第一篇</t>
  </si>
  <si>
    <t>迪卡·凱恩的日誌：第二篇</t>
  </si>
  <si>
    <t>阿德納的便條</t>
  </si>
  <si>
    <t>隱士的瘋言瘋語</t>
  </si>
  <si>
    <t>艾希菈王后的日誌</t>
  </si>
  <si>
    <t>盜賊的日誌</t>
  </si>
  <si>
    <t>國王港告示</t>
  </si>
  <si>
    <t>骷髏王</t>
  </si>
  <si>
    <t>流浪工匠的日誌</t>
  </si>
  <si>
    <t>先知巫瑞克的筆記：第一篇</t>
  </si>
  <si>
    <t>先知巫瑞克的筆記：第二篇</t>
  </si>
  <si>
    <t>先知巫瑞克的筆記：第三篇</t>
  </si>
  <si>
    <t>祭司的靜思：第一篇</t>
  </si>
  <si>
    <t>米菈寫給海德格的信</t>
  </si>
  <si>
    <t>凯恩的旧日志一</t>
  </si>
  <si>
    <t>凯恩的旧日志二</t>
  </si>
  <si>
    <t>凯恩的旧日志三</t>
  </si>
  <si>
    <t>凯恩的旧日志四</t>
  </si>
  <si>
    <t>遺失的日誌</t>
  </si>
  <si>
    <t>旧日记</t>
  </si>
  <si>
    <t>黛絲賓娜的日誌</t>
  </si>
  <si>
    <t>做好筆記</t>
  </si>
  <si>
    <t>來自沃薩姆的報告</t>
  </si>
  <si>
    <t>邪教大審判官的指令</t>
  </si>
  <si>
    <t>邪教大審判官的回覆</t>
  </si>
  <si>
    <t>拉薩雷茲摩典的書頁</t>
  </si>
  <si>
    <t>瑪格妲的命令</t>
  </si>
  <si>
    <t>村民的日誌</t>
  </si>
  <si>
    <t>召喚者的日誌</t>
  </si>
  <si>
    <t>吊人樹</t>
  </si>
  <si>
    <t>掘墓者的日誌</t>
  </si>
  <si>
    <t>崔斯特姆原野</t>
  </si>
  <si>
    <t>卡茲拉首級通緝令</t>
  </si>
  <si>
    <t>研究卡茲拉</t>
  </si>
  <si>
    <t>卡茲拉大屠殺</t>
  </si>
  <si>
    <t>高地</t>
  </si>
  <si>
    <t>破舊信柬</t>
  </si>
  <si>
    <t>破舊信柬的後續回應</t>
  </si>
  <si>
    <t>新崔斯特姆</t>
  </si>
  <si>
    <t>旅人日誌</t>
  </si>
  <si>
    <t>瓦瑞夫的日誌</t>
  </si>
  <si>
    <t>盜墓賊日誌</t>
  </si>
  <si>
    <t>先祖的最後一戰</t>
  </si>
  <si>
    <t>沉沒神殿</t>
  </si>
  <si>
    <t>勇士之陵</t>
  </si>
  <si>
    <t>舊崔斯特姆日誌</t>
  </si>
  <si>
    <t>明辨忠奸</t>
  </si>
  <si>
    <t>福奧德的日誌</t>
  </si>
  <si>
    <t>佐頓庫勒</t>
  </si>
  <si>
    <t>哈里發沙爾達的隨想</t>
  </si>
  <si>
    <r>
      <t>費祖爾</t>
    </r>
    <r>
      <rPr>
        <sz val="11"/>
        <rFont val="MingLiU"/>
        <family val="3"/>
        <charset val="136"/>
      </rPr>
      <t>‧</t>
    </r>
    <r>
      <rPr>
        <sz val="11"/>
        <rFont val="宋体"/>
        <family val="3"/>
        <charset val="134"/>
      </rPr>
      <t>阿爾卡扎的承諾</t>
    </r>
  </si>
  <si>
    <t>鐵狼隊長的日誌</t>
  </si>
  <si>
    <t>妙手賊神的傳說</t>
  </si>
  <si>
    <t>凱菈的詩歌</t>
  </si>
  <si>
    <t>達卡布可汗的遺囑</t>
  </si>
  <si>
    <t>菈娜的日记</t>
  </si>
  <si>
    <t>庫勒的日誌：第一篇</t>
  </si>
  <si>
    <t>庫勒的日誌：第二篇</t>
  </si>
  <si>
    <t>庫勒的日誌：第三篇</t>
  </si>
  <si>
    <t>庫勒的日誌：第四篇</t>
  </si>
  <si>
    <t>莉亞的卡爾蒂姆日誌：第一篇</t>
  </si>
  <si>
    <t>莉亞的卡爾蒂姆日誌：第二篇</t>
  </si>
  <si>
    <t>莉亞的卡爾蒂姆日誌：第三篇</t>
  </si>
  <si>
    <t>莉亞的卡爾蒂姆日誌：第四篇</t>
  </si>
  <si>
    <t>莉亞的卡爾蒂姆日誌：第五篇</t>
  </si>
  <si>
    <t>怨慟女王：安達莉爾</t>
  </si>
  <si>
    <t>罪惡之王：阿茲莫丹</t>
  </si>
  <si>
    <t>毀滅之王：巴爾</t>
  </si>
  <si>
    <t>謊言之王：彼列</t>
  </si>
  <si>
    <t>恐懼之王：迪亞布羅</t>
  </si>
  <si>
    <t>苦痛之王：都瑞爾</t>
  </si>
  <si>
    <t>地獄七魔王</t>
  </si>
  <si>
    <t>憎恨之王：墨菲斯托</t>
  </si>
  <si>
    <t>一封情書</t>
  </si>
  <si>
    <t>死靈法師的日誌</t>
  </si>
  <si>
    <t>帝國衛兵的命令</t>
  </si>
  <si>
    <t>破碎的日誌</t>
  </si>
  <si>
    <t>波爾塔赫的筆記</t>
  </si>
  <si>
    <t>林多的日誌</t>
  </si>
  <si>
    <t>焦黑的日誌</t>
  </si>
  <si>
    <t>僕人的日誌</t>
  </si>
  <si>
    <t>衛兵的命令</t>
  </si>
  <si>
    <t>帝國衛兵的公告</t>
  </si>
  <si>
    <t>給瑪格妲的書信之一</t>
  </si>
  <si>
    <t>給瑪格妲的書信之二</t>
  </si>
  <si>
    <t>魅影怪的命令之一</t>
  </si>
  <si>
    <t>魅影怪的命令之二</t>
  </si>
  <si>
    <t>魅影怪的命令之三</t>
  </si>
  <si>
    <t>令人畏懼的英雄</t>
  </si>
  <si>
    <t>獵人的日誌：第一篇</t>
  </si>
  <si>
    <t>獵人的日誌：第二篇</t>
  </si>
  <si>
    <t>獵人的日誌：第三篇</t>
  </si>
  <si>
    <t>獵人的日誌：第四篇</t>
  </si>
  <si>
    <t>獵人的日誌：第五篇</t>
  </si>
  <si>
    <t>獵人的日誌：第六篇</t>
  </si>
  <si>
    <t>沙漠渠道：第一篇</t>
  </si>
  <si>
    <t>沙漠渠道：第二篇</t>
  </si>
  <si>
    <t>卡爾蒂姆簡史：第一篇</t>
  </si>
  <si>
    <t>卡爾蒂姆簡史：第二篇</t>
  </si>
  <si>
    <t>卡爾蒂姆簡史：第三篇</t>
  </si>
  <si>
    <t>卡爾蒂姆簡史：第四篇</t>
  </si>
  <si>
    <t>卡爾蒂姆簡史：第五篇</t>
  </si>
  <si>
    <t>卡爾蒂姆簡史：第六篇</t>
  </si>
  <si>
    <t>淒涼沙地：第一篇</t>
  </si>
  <si>
    <t>淒涼沙地：第二篇</t>
  </si>
  <si>
    <t>淒涼沙地：第三篇</t>
  </si>
  <si>
    <t>眾面之室</t>
  </si>
  <si>
    <t>沾滿血漬的信</t>
  </si>
  <si>
    <t>岡姆的日誌</t>
  </si>
  <si>
    <t>漢桑·海利隊長的日誌</t>
  </si>
  <si>
    <t>莉亞的要塞日誌：第一篇</t>
  </si>
  <si>
    <t>莉亞的要塞日誌：第二篇</t>
  </si>
  <si>
    <t>莉亞的要塞日誌：第三篇</t>
  </si>
  <si>
    <t>莉亞的要塞日誌：第四篇</t>
  </si>
  <si>
    <t>摩根的日誌：第一篇</t>
  </si>
  <si>
    <t>摩根的日誌：第二篇</t>
  </si>
  <si>
    <t>摩根的日誌：第三篇</t>
  </si>
  <si>
    <t>戰場報告</t>
  </si>
  <si>
    <t>阿茲莫丹的命令之一</t>
  </si>
  <si>
    <t>阿茲莫丹的命令之二</t>
  </si>
  <si>
    <t>阿茲莫丹的命令之三</t>
  </si>
  <si>
    <t>阿茲莫丹的命令之四</t>
  </si>
  <si>
    <t>阿茲莫丹的命令之五</t>
  </si>
  <si>
    <t>阿茲莫丹的命令之六</t>
  </si>
  <si>
    <t>野蠻人一族的沒落：第一篇</t>
  </si>
  <si>
    <t>野蠻人一族的沒落：第二篇</t>
  </si>
  <si>
    <t>野蠻人一族的沒落：第三篇</t>
  </si>
  <si>
    <t>野蠻人一族的沒落：第四篇</t>
  </si>
  <si>
    <t>野蠻人一族的沒落：第五篇</t>
  </si>
  <si>
    <t>戍衛要塞的歷史</t>
  </si>
  <si>
    <t>遺願</t>
  </si>
  <si>
    <t>安傑瑞斯議會</t>
  </si>
  <si>
    <t>望天使奧莉爾</t>
  </si>
  <si>
    <t>勇天使英普瑞斯</t>
  </si>
  <si>
    <t>命天使伊瑟瑞爾</t>
  </si>
  <si>
    <t>智天使馬瑟爾</t>
  </si>
  <si>
    <t>義天使泰瑞爾</t>
  </si>
  <si>
    <t>伊卒爾的沉淪</t>
  </si>
  <si>
    <t>涅法雷姆的命運：第一篇</t>
  </si>
  <si>
    <t>涅法雷姆的命運：第二篇</t>
  </si>
  <si>
    <t>涅法雷姆的命運：第三篇</t>
  </si>
  <si>
    <t>聖修亞瑞的誕生：第一篇</t>
  </si>
  <si>
    <t>聖修亞瑞的誕生：第二篇</t>
  </si>
  <si>
    <t>聖修亞瑞的誕生：第三篇</t>
  </si>
  <si>
    <t>聖修亞瑞的誕生：第四篇</t>
  </si>
  <si>
    <t>速读强记</t>
  </si>
  <si>
    <t>艾德莉亚的日志</t>
  </si>
  <si>
    <t>拉齐达南的卷轴一</t>
  </si>
  <si>
    <t>拉齐达南的卷轴二</t>
  </si>
  <si>
    <t>拉齐达南的卷轴三</t>
  </si>
  <si>
    <t>拉齐达南的卷轴四</t>
  </si>
  <si>
    <t>拉齐达南的卷轴五</t>
  </si>
  <si>
    <t>莉娅的崔斯特姆日志一</t>
  </si>
  <si>
    <t>莉娅的崔斯特姆日志二</t>
  </si>
  <si>
    <t>莉娅的崔斯特姆日志三</t>
  </si>
  <si>
    <t>莉娅的崔斯特姆日志四</t>
  </si>
  <si>
    <t>莉娅的崔斯特姆日志五</t>
  </si>
  <si>
    <t>莉娅的崔斯特姆日志六</t>
  </si>
  <si>
    <t>莉娅的崔斯特姆日志七</t>
  </si>
  <si>
    <t>莱奥瑞克的日志一</t>
  </si>
  <si>
    <t>莱奥瑞克的日志二</t>
  </si>
  <si>
    <t>莱奥瑞克的日志三</t>
  </si>
  <si>
    <t>莱奥瑞克的日志四</t>
  </si>
  <si>
    <t>莱奥瑞克的日志五</t>
  </si>
  <si>
    <t>农夫的日志</t>
  </si>
  <si>
    <t>保卫者塔里克的剑鞘</t>
  </si>
  <si>
    <t>迪卡德·凯恩的日志一</t>
  </si>
  <si>
    <t>迪卡德·凯恩的日志二</t>
  </si>
  <si>
    <t>阿迪娜的笔记</t>
  </si>
  <si>
    <t>隐士的胡话</t>
  </si>
  <si>
    <t>阿西拉王后的日志</t>
  </si>
  <si>
    <t>痞子的日志</t>
  </si>
  <si>
    <t>国王港账单</t>
  </si>
  <si>
    <t>骷髅王</t>
  </si>
  <si>
    <t>流浪修补匠的日记</t>
  </si>
  <si>
    <t>先知乌里克的笔记一</t>
  </si>
  <si>
    <t>先知乌里克的笔记二</t>
  </si>
  <si>
    <t>先知乌里克的笔记三</t>
  </si>
  <si>
    <t>牧师的沉思一</t>
  </si>
  <si>
    <t>牧师的沉思二</t>
  </si>
  <si>
    <t>米拉致黑德里格的信</t>
  </si>
  <si>
    <t>吉莉安的日记一</t>
  </si>
  <si>
    <t>吉莉安的日记二</t>
  </si>
  <si>
    <t>丢失的日志</t>
  </si>
  <si>
    <t>德斯比纳的日志</t>
  </si>
  <si>
    <t>勤做笔记</t>
  </si>
  <si>
    <t>来自沃桑的报告</t>
  </si>
  <si>
    <t>邪教徒大审讯官的命令</t>
  </si>
  <si>
    <t>邪教徒大审讯官的回复</t>
  </si>
  <si>
    <t>拉扎鲁斯魔典的一页</t>
  </si>
  <si>
    <t>麦格妲的命令</t>
  </si>
  <si>
    <t>村民的日志</t>
  </si>
  <si>
    <t>召唤师的日志</t>
  </si>
  <si>
    <t>绞刑之树</t>
  </si>
  <si>
    <t>掘墓者的日志</t>
  </si>
  <si>
    <t>崔斯特姆旷野</t>
  </si>
  <si>
    <t>悬赏卡兹拉头骨</t>
  </si>
  <si>
    <t>研究卡兹拉</t>
  </si>
  <si>
    <t>卡兹拉大血洗</t>
  </si>
  <si>
    <t>撕碎的信件</t>
  </si>
  <si>
    <t>撕碎的信件的回信</t>
  </si>
  <si>
    <t>旅行者的日志</t>
  </si>
  <si>
    <t>瓦瑞夫的日志</t>
  </si>
  <si>
    <t>盗墓者的日志</t>
  </si>
  <si>
    <t>先祖的最终战役</t>
  </si>
  <si>
    <t>沉没的神庙</t>
  </si>
  <si>
    <t>旧崔斯特姆日志</t>
  </si>
  <si>
    <t>福阿德的日志</t>
  </si>
  <si>
    <t>佐敦·库勒</t>
  </si>
  <si>
    <t>萨达尔的冥思</t>
  </si>
  <si>
    <t>菲祖尔·卡扎尔的承诺</t>
  </si>
  <si>
    <t>艾雷娜的日志</t>
  </si>
  <si>
    <t>铁狼队长的日志</t>
  </si>
  <si>
    <t>贼老骗的传说</t>
  </si>
  <si>
    <t>卡拉的诗</t>
  </si>
  <si>
    <t>坎·达卡布的最后心愿</t>
  </si>
  <si>
    <t>莱拉的日记</t>
  </si>
  <si>
    <t>库勒的日志一</t>
  </si>
  <si>
    <t>库勒的日志二</t>
  </si>
  <si>
    <t>库勒的日志三</t>
  </si>
  <si>
    <t>库勒的日志四</t>
  </si>
  <si>
    <t>莉娅的卡尔蒂姆日志一</t>
  </si>
  <si>
    <t>莉娅的卡尔蒂姆日志二</t>
  </si>
  <si>
    <t>莉娅的卡尔蒂姆日志三</t>
  </si>
  <si>
    <t>莉娅的卡尔蒂姆日志四</t>
  </si>
  <si>
    <t>莉娅的卡尔蒂姆日志五</t>
  </si>
  <si>
    <t>安达莉尔,苦楚女士</t>
  </si>
  <si>
    <t>阿兹莫丹,罪恶之王</t>
  </si>
  <si>
    <t>巴尔,毁灭之王</t>
  </si>
  <si>
    <t>彼勒尔,谎言之王</t>
  </si>
  <si>
    <t>迪亚波罗,恐惧之王</t>
  </si>
  <si>
    <t>督瑞尔,苦痛之王</t>
  </si>
  <si>
    <t>地狱七魔头</t>
  </si>
  <si>
    <t>墨菲斯托,憎恨之王</t>
  </si>
  <si>
    <t>情书</t>
  </si>
  <si>
    <t>死灵法师的笔记</t>
  </si>
  <si>
    <t>帝国警卫的命令</t>
  </si>
  <si>
    <t>破碎的日志</t>
  </si>
  <si>
    <t>波尔塔的笔记</t>
  </si>
  <si>
    <t>林度的日志</t>
  </si>
  <si>
    <t>破损的日志</t>
  </si>
  <si>
    <t>侍从的日志</t>
  </si>
  <si>
    <t>道听途说</t>
  </si>
  <si>
    <t>警卫的命令书</t>
  </si>
  <si>
    <t>帝国警卫的告示</t>
  </si>
  <si>
    <t>致麦格妲的书信一</t>
  </si>
  <si>
    <t>致麦格妲的书信二</t>
  </si>
  <si>
    <t>欺诈者的命令一</t>
  </si>
  <si>
    <t>欺诈者的命令二</t>
  </si>
  <si>
    <t>欺诈者的命令三</t>
  </si>
  <si>
    <t>畏惧的英雄</t>
  </si>
  <si>
    <t>猎手的日志一</t>
  </si>
  <si>
    <t>猎手的日志二</t>
  </si>
  <si>
    <t>猎手的日志三</t>
  </si>
  <si>
    <t>猎手的日志四</t>
  </si>
  <si>
    <t>猎手的日志五</t>
  </si>
  <si>
    <t>猎手的日志六</t>
  </si>
  <si>
    <t>卡尔蒂姆史学家</t>
  </si>
  <si>
    <t>沙漠水道,第一部分</t>
  </si>
  <si>
    <t>沙漠水道,第二部分</t>
  </si>
  <si>
    <t>卡尔蒂姆简史一</t>
  </si>
  <si>
    <t>卡尔蒂姆简史二</t>
  </si>
  <si>
    <t>卡尔蒂姆简史三</t>
  </si>
  <si>
    <t>卡尔蒂姆简史四</t>
  </si>
  <si>
    <t>卡尔蒂姆简史五</t>
  </si>
  <si>
    <t>卡尔蒂姆简史六</t>
  </si>
  <si>
    <t>达尔格绿洲</t>
  </si>
  <si>
    <t>凄凉沙漠,第一部分</t>
  </si>
  <si>
    <t>凄凉沙漠,第二部分</t>
  </si>
  <si>
    <t>凄凉沙漠,第三部分</t>
  </si>
  <si>
    <t>千面大厅</t>
  </si>
  <si>
    <t>传说源启</t>
  </si>
  <si>
    <t>染血的信笺</t>
  </si>
  <si>
    <t>贡姆的日志</t>
  </si>
  <si>
    <t>汉森·海耶队长的日志</t>
  </si>
  <si>
    <t>莉娅的要塞日志一</t>
  </si>
  <si>
    <t>莉娅的要塞日志二</t>
  </si>
  <si>
    <t>莉娅的要塞日志三</t>
  </si>
  <si>
    <t>莉娅的要塞日志四</t>
  </si>
  <si>
    <t>摩根的日志一</t>
  </si>
  <si>
    <t>摩根的日志二</t>
  </si>
  <si>
    <t>摩根的日志三</t>
  </si>
  <si>
    <t>谍报活动</t>
  </si>
  <si>
    <t>战斗报告</t>
  </si>
  <si>
    <t>阿兹莫丹的命令一</t>
  </si>
  <si>
    <t>阿兹莫丹的命令二</t>
  </si>
  <si>
    <t>阿兹莫丹的命令三</t>
  </si>
  <si>
    <t>阿兹莫丹的命令四</t>
  </si>
  <si>
    <t>阿兹莫丹的命令五</t>
  </si>
  <si>
    <t>阿兹莫丹的命令六</t>
  </si>
  <si>
    <t>野蛮人的堕落,第一部分</t>
  </si>
  <si>
    <t>野蛮人的堕落,第二部分</t>
  </si>
  <si>
    <t>野蛮人的堕落,第三部分</t>
  </si>
  <si>
    <t>野蛮人的堕落,第四部分</t>
  </si>
  <si>
    <t>野蛮人的堕落,第五部分</t>
  </si>
  <si>
    <t>巴斯廷要塞史</t>
  </si>
  <si>
    <t>临终遗愿</t>
  </si>
  <si>
    <t>天使会议</t>
  </si>
  <si>
    <t>大天使奥莉尔,希望天使</t>
  </si>
  <si>
    <t>大天使英普瑞斯,勇气天使</t>
  </si>
  <si>
    <t>大天使伊瑟瑞尔,命运天使</t>
  </si>
  <si>
    <t>大天使马萨伊尔,智慧天使</t>
  </si>
  <si>
    <t>大天使泰瑞尔,正义天使</t>
  </si>
  <si>
    <t>衣卒尔的沦落</t>
  </si>
  <si>
    <t>档案研究</t>
  </si>
  <si>
    <t>高阶天堂史学家</t>
  </si>
  <si>
    <t>庇护之地的创生,第一部分</t>
  </si>
  <si>
    <t>庇护之地的创生,第二部分</t>
  </si>
  <si>
    <t>庇护之地的创生,第三部分</t>
  </si>
  <si>
    <t>庇护之地的创生,第四部分</t>
  </si>
  <si>
    <t>书籍</t>
    <phoneticPr fontId="20" type="noConversion"/>
  </si>
  <si>
    <r>
      <t>A</t>
    </r>
    <r>
      <rPr>
        <sz val="10"/>
        <rFont val="宋体"/>
        <family val="3"/>
        <charset val="134"/>
      </rPr>
      <t>1</t>
    </r>
    <phoneticPr fontId="20" type="noConversion"/>
  </si>
  <si>
    <r>
      <t>A</t>
    </r>
    <r>
      <rPr>
        <sz val="10"/>
        <rFont val="宋体"/>
        <family val="3"/>
        <charset val="134"/>
      </rPr>
      <t>2</t>
    </r>
    <r>
      <rPr>
        <sz val="12"/>
        <rFont val="宋体"/>
        <family val="3"/>
        <charset val="134"/>
      </rPr>
      <t/>
    </r>
  </si>
  <si>
    <r>
      <t>A</t>
    </r>
    <r>
      <rPr>
        <sz val="10"/>
        <rFont val="宋体"/>
        <family val="3"/>
        <charset val="134"/>
      </rPr>
      <t>3</t>
    </r>
    <r>
      <rPr>
        <sz val="12"/>
        <rFont val="宋体"/>
        <family val="3"/>
        <charset val="134"/>
      </rPr>
      <t/>
    </r>
  </si>
  <si>
    <r>
      <t>A</t>
    </r>
    <r>
      <rPr>
        <sz val="10"/>
        <rFont val="宋体"/>
        <family val="3"/>
        <charset val="134"/>
      </rPr>
      <t>4</t>
    </r>
    <r>
      <rPr>
        <sz val="12"/>
        <rFont val="宋体"/>
        <family val="3"/>
        <charset val="134"/>
      </rPr>
      <t/>
    </r>
  </si>
  <si>
    <r>
      <t>A</t>
    </r>
    <r>
      <rPr>
        <sz val="10"/>
        <rFont val="宋体"/>
        <family val="3"/>
        <charset val="134"/>
      </rPr>
      <t>5</t>
    </r>
    <r>
      <rPr>
        <sz val="12"/>
        <rFont val="宋体"/>
        <family val="3"/>
        <charset val="134"/>
      </rPr>
      <t/>
    </r>
  </si>
  <si>
    <t>A1</t>
    <phoneticPr fontId="20" type="noConversion"/>
  </si>
  <si>
    <r>
      <t>A</t>
    </r>
    <r>
      <rPr>
        <sz val="10"/>
        <rFont val="宋体"/>
        <family val="3"/>
        <charset val="134"/>
      </rPr>
      <t>1</t>
    </r>
    <r>
      <rPr>
        <sz val="12"/>
        <rFont val="宋体"/>
        <family val="3"/>
        <charset val="134"/>
      </rPr>
      <t/>
    </r>
  </si>
  <si>
    <r>
      <t>A</t>
    </r>
    <r>
      <rPr>
        <sz val="10"/>
        <rFont val="宋体"/>
        <family val="3"/>
        <charset val="134"/>
      </rPr>
      <t>2</t>
    </r>
    <phoneticPr fontId="20" type="noConversion"/>
  </si>
  <si>
    <r>
      <t>A</t>
    </r>
    <r>
      <rPr>
        <sz val="10"/>
        <rFont val="宋体"/>
        <family val="3"/>
        <charset val="134"/>
      </rPr>
      <t>3</t>
    </r>
    <phoneticPr fontId="20" type="noConversion"/>
  </si>
  <si>
    <r>
      <t>A</t>
    </r>
    <r>
      <rPr>
        <sz val="10"/>
        <rFont val="宋体"/>
        <family val="3"/>
        <charset val="134"/>
      </rPr>
      <t>4</t>
    </r>
    <phoneticPr fontId="20" type="noConversion"/>
  </si>
  <si>
    <r>
      <t>A</t>
    </r>
    <r>
      <rPr>
        <sz val="10"/>
        <rFont val="宋体"/>
        <family val="3"/>
        <charset val="134"/>
      </rPr>
      <t>5</t>
    </r>
    <phoneticPr fontId="20" type="noConversion"/>
  </si>
  <si>
    <t>人物轶闻书</t>
    <phoneticPr fontId="20" type="noConversion"/>
  </si>
  <si>
    <t>任务轶闻书</t>
  </si>
  <si>
    <t>任务轶闻书</t>
    <phoneticPr fontId="20" type="noConversion"/>
  </si>
  <si>
    <t>世界轶闻书</t>
    <phoneticPr fontId="20" type="noConversion"/>
  </si>
  <si>
    <t>世界轶闻书</t>
    <phoneticPr fontId="20" type="noConversion"/>
  </si>
  <si>
    <t>人物轶闻书</t>
    <phoneticPr fontId="20" type="noConversion"/>
  </si>
  <si>
    <t>任务轶闻书</t>
    <phoneticPr fontId="20" type="noConversion"/>
  </si>
  <si>
    <t>世界轶闻书</t>
    <phoneticPr fontId="20" type="noConversion"/>
  </si>
  <si>
    <t>人物轶闻书</t>
    <phoneticPr fontId="20" type="noConversion"/>
  </si>
  <si>
    <t>混沌界要塞</t>
    <phoneticPr fontId="20" type="noConversion"/>
  </si>
  <si>
    <t>切换语言：</t>
    <phoneticPr fontId="7" type="noConversion"/>
  </si>
  <si>
    <t>成就相关独特怪（紫名怪）出没地点一览</t>
    <phoneticPr fontId="7" type="noConversion"/>
  </si>
  <si>
    <t>正在查看：</t>
    <phoneticPr fontId="7" type="noConversion"/>
  </si>
  <si>
    <t>语言编号</t>
    <phoneticPr fontId="20" type="noConversion"/>
  </si>
  <si>
    <t>English</t>
    <phoneticPr fontId="12" type="noConversion"/>
  </si>
  <si>
    <t>译文数据</t>
    <phoneticPr fontId="20" type="noConversion"/>
  </si>
  <si>
    <t>标准模式稀有怪（金怪）出没地点一览</t>
    <phoneticPr fontId="7" type="noConversion"/>
  </si>
  <si>
    <t>标准模式勇士怪（蓝怪）出没地点一览</t>
    <phoneticPr fontId="7" type="noConversion"/>
  </si>
  <si>
    <t>专家模式稀有怪（金怪）出没地点一览</t>
    <phoneticPr fontId="7" type="noConversion"/>
  </si>
  <si>
    <t>专家模式勇士怪（蓝怪）出没地点一览</t>
    <phoneticPr fontId="7" type="noConversion"/>
  </si>
  <si>
    <t>很难出 并且有只一样的酱油怪 可以顺便采蘑菇</t>
    <phoneticPr fontId="7" type="noConversion"/>
  </si>
  <si>
    <t>第五章书籍成就汇总</t>
    <phoneticPr fontId="7" type="noConversion"/>
  </si>
  <si>
    <t>衛斯馬屈城中區-沉痛之屋</t>
    <phoneticPr fontId="20" type="noConversion"/>
  </si>
  <si>
    <t>衛斯馬屈城中區-守財奴的陋屋</t>
    <phoneticPr fontId="20" type="noConversion"/>
  </si>
  <si>
    <t>寇佛斯遺跡-遺跡大廳</t>
    <phoneticPr fontId="20" type="noConversion"/>
  </si>
  <si>
    <t>衛斯馬屈山城區-骸骨地窖第一層</t>
    <phoneticPr fontId="20" type="noConversion"/>
  </si>
  <si>
    <t>衛斯馬屈城中區-瘟疫地道第一層</t>
    <phoneticPr fontId="20" type="noConversion"/>
  </si>
  <si>
    <t>莉娅</t>
  </si>
  <si>
    <t>[固定出现][固定位置]完成任务1-2-1后获得</t>
  </si>
  <si>
    <t>教徒的诵经台</t>
  </si>
  <si>
    <t>[固定出现]第一次点击教徒的诵经台</t>
  </si>
  <si>
    <t>[固定出现]第二次点击教徒的诵经台</t>
  </si>
  <si>
    <t>[固定出现]第三次点击教徒的诵经台</t>
  </si>
  <si>
    <t>[固定出现]第四次点击教徒的诵经台</t>
  </si>
  <si>
    <t>[固定出现]第五次点击教徒的诵经台</t>
  </si>
  <si>
    <t>[固定出现][固定位置][任务]1-1-1</t>
  </si>
  <si>
    <t>[固定出现][固定位置][任务]1-2-2</t>
  </si>
  <si>
    <t>[固定出现][固定位置][任务]1-3-1</t>
  </si>
  <si>
    <t>[固定出现][固定位置][任务]1-5-1</t>
  </si>
  <si>
    <t>[固定出现][固定位置][任务]1-6-1</t>
  </si>
  <si>
    <t>[固定出现][固定位置][任务]1-7-1需要和泰瑞尔对话领任务</t>
  </si>
  <si>
    <t>[固定出现][固定位置][任务]1-8-1</t>
  </si>
  <si>
    <t>[固定出现]第一次点击发霉的讲坛</t>
  </si>
  <si>
    <t>[固定出现]第二次点击发霉的讲坛</t>
  </si>
  <si>
    <t>[固定出现]第三次点击发霉的讲坛</t>
  </si>
  <si>
    <t>[非固定出现][固定位置]小棚屋位于苦难旷野上方,1/3几率出现斯维克德的尸体</t>
  </si>
  <si>
    <t>防具制造师温德尔</t>
  </si>
  <si>
    <t>[非固定出现][固定位置]高地哨塔位于南方高地左边，固定位置出现，完成二层入口处"防具制造师温德尔"给与的随机事件"被抢走的剑鞘"后获得，事件出现几率比较低</t>
  </si>
  <si>
    <t>[固定出现][固定位置][任务]1-2-1</t>
  </si>
  <si>
    <t>[固定出现][固定位置][任务]1-4-1</t>
  </si>
  <si>
    <t>[非固定出现]珍品屋位于苦难旷野，与传送点，卡兹拉洞穴公用4个刷新点，出现概率较低</t>
  </si>
  <si>
    <t>背包</t>
  </si>
  <si>
    <t>[固定出现]</t>
  </si>
  <si>
    <t>箱子</t>
  </si>
  <si>
    <t>[固定出现][固定位置]入口处左边，阿西拉王后的囚房内</t>
  </si>
  <si>
    <t>被偷走的袋子</t>
  </si>
  <si>
    <t>[固定出现]通往老磨村处附近</t>
  </si>
  <si>
    <t>痞子</t>
  </si>
  <si>
    <t>[固定出现][固定位置]与盗贼追随者进行对话“林登的过去”后获得，注意追随状态下对话无法获得</t>
  </si>
  <si>
    <t>莱奥瑞克王</t>
  </si>
  <si>
    <t>[固定出现][固定位置]首次击杀骷髅王后获得</t>
  </si>
  <si>
    <t>流浪修补匠的财产</t>
  </si>
  <si>
    <t>[非固定出现][固定位置]三分之一几率出现"修补匠的小屋"门前，三分之一几率出现</t>
  </si>
  <si>
    <t>乌里克的背包</t>
  </si>
  <si>
    <t>[固定出现]月亮部族洞穴位于南方高地,每层只有一个背包</t>
  </si>
  <si>
    <t>牧师的背包</t>
  </si>
  <si>
    <t>[固定出现][固定位置]背包位于沃桑入口处附近的下方那条岔路，一次游戏只出现一个</t>
  </si>
  <si>
    <t>铁匠的物品</t>
  </si>
  <si>
    <t>旧保险箱</t>
  </si>
  <si>
    <t>沃桑村民尸体</t>
  </si>
  <si>
    <t>[固定出现][固定位置]通往莱奥瑞克的狩猎场前的台阶上，左下角</t>
  </si>
  <si>
    <t>发霉的讲坛</t>
  </si>
  <si>
    <t>[固定出现]第四次点击发霉的讲坛</t>
  </si>
  <si>
    <t>[固定出现]第五次点击发霉的讲坛</t>
  </si>
  <si>
    <t>[固定出现][固定位置]往苦痛大厅三层前左边的房间中的砍头事件结束后获得</t>
  </si>
  <si>
    <t>召唤师</t>
  </si>
  <si>
    <t>[非固定出现][固定位置]击杀地图右部的召唤师</t>
  </si>
  <si>
    <t>[非固定出现]出现几率较低，可能出现吊人树而没有事件发生无法获得书籍</t>
  </si>
  <si>
    <t>遇害的旅行者</t>
  </si>
  <si>
    <t>腐朽的尸体</t>
  </si>
  <si>
    <t>遗失的箱子</t>
  </si>
  <si>
    <t>布满灰尘的袋子</t>
  </si>
  <si>
    <t>[固定出现]第二次点击布满灰尘的袋子</t>
  </si>
  <si>
    <t>新崔斯特姆的历史</t>
  </si>
  <si>
    <t>[固定出现][固定位置]进屠牛旅馆门口桌上</t>
  </si>
  <si>
    <t>冒险者尸体</t>
  </si>
  <si>
    <t>[非固定出现]一棵树旁边</t>
  </si>
  <si>
    <t>瓦瑞夫尸体</t>
  </si>
  <si>
    <t>[非固定出现]货车旁边</t>
  </si>
  <si>
    <t>盗墓者</t>
  </si>
  <si>
    <t>[固定出现][固定位置]先祖墓穴位于烂木林,尸体位于地图右下</t>
  </si>
  <si>
    <t>[固定出现]完成事件"先祖英雄之背水一战"后获得</t>
  </si>
  <si>
    <t>先祖尸骸</t>
  </si>
  <si>
    <t>[固定出现][固定位置]</t>
  </si>
  <si>
    <t>古代骷髅</t>
  </si>
  <si>
    <t>[剧情模式]说明必须要在剧情模式下才会出现</t>
  </si>
  <si>
    <t>[冒险模式]说明必须要在冒险模式下才会出现</t>
  </si>
  <si>
    <t>第一章书籍成就汇总</t>
    <phoneticPr fontId="7" type="noConversion"/>
  </si>
  <si>
    <t>吃人的福阿德</t>
  </si>
  <si>
    <t>[非固定出现]地窖位于凄风苔原中随机出现，击杀里面的福阿德后获得</t>
  </si>
  <si>
    <t>秘密营地</t>
  </si>
  <si>
    <t>艾德莉亚</t>
  </si>
  <si>
    <t>[固定出现][任务]赫拉迪姆的背叛者2-6-1与莉娅接取任务后获得</t>
  </si>
  <si>
    <t>菲祖尔</t>
  </si>
  <si>
    <t>[非固定出现]击杀随机出现的菲祖尔，击杀后掉落，菲祖尔隐藏在一个水塘里，周围有一圈尸体,会红字喊话</t>
  </si>
  <si>
    <t>艾雷娜</t>
  </si>
  <si>
    <t>[固定出现][固定位置]与艾雷娜对话“艾雷娜的旅途”后获得，注意，需要艾雷娜没有招募作为当前佣兵的情况下</t>
  </si>
  <si>
    <t>铁狼队长的尸体</t>
  </si>
  <si>
    <t>[固定出现][固定位置]阿尔卡纳斯上面那部分，麦格妲的房间向沿着墙向右走</t>
  </si>
  <si>
    <t>沈老贪</t>
  </si>
  <si>
    <t>[固定出现]与沈老贪对话“错误身份”后取得，在其他几幕与对话也可以取得</t>
  </si>
  <si>
    <t>卡拉</t>
  </si>
  <si>
    <t>[固定出现][任务]血染黄沙2-7-1与卡拉对话后“梦”后获得</t>
  </si>
  <si>
    <t>[非固定出现]随机事件“失落的坎·达卡布财宝”触发后进入事件地图的墓室门前</t>
  </si>
  <si>
    <t>莱拉</t>
  </si>
  <si>
    <t>佐敦·库勒的日志</t>
  </si>
  <si>
    <t>[固定出现]佐敦·库勒的血周边</t>
  </si>
  <si>
    <t>[固定出现]进门后立刻会看到</t>
  </si>
  <si>
    <t>[固定出现]击杀佐敦·库勒后掉落</t>
  </si>
  <si>
    <t>[固定出现][固定位置][任务]2-1-1和莉娅对话后</t>
  </si>
  <si>
    <t>[固定出现][固定位置][任务]2-3-1</t>
  </si>
  <si>
    <t>[固定出现][固定位置][任务]2-10-1</t>
  </si>
  <si>
    <t>凯恩丢失的小包</t>
  </si>
  <si>
    <t>[固定出现]任何一个位置的“凯恩丢失的背包”都可以取得，集满后不再取得</t>
  </si>
  <si>
    <t>保险箱</t>
  </si>
  <si>
    <t>[固定出现]第一次开是一本“达尔格绿洲”第二次开才会出“情书”</t>
  </si>
  <si>
    <t>[非固定出现][随机事件]躁怒沙漠结束后获得</t>
  </si>
  <si>
    <t>[非固定出现]腐烂的地窖在达尔格绿洲随即出现，进入后随机事件完成后掉落</t>
  </si>
  <si>
    <t>冒险者幽魂</t>
  </si>
  <si>
    <t>波尔塔的背包</t>
  </si>
  <si>
    <t>[非固定出现]随机事件“雷格纳人偶”出发后，进入地图的地上随机出现</t>
  </si>
  <si>
    <t>[非固定出现]随机事件“灾难之轮”出现后，林度的右手边地上</t>
  </si>
  <si>
    <t>焦黑的铁狼卫士</t>
  </si>
  <si>
    <t>[固定出现][任务]肃清卡尔蒂姆2-9-1，请接去那个营救村民的任务，在任务过程中去集市下面本来无法进入的区域中</t>
  </si>
  <si>
    <t>扭曲的尸体</t>
  </si>
  <si>
    <t>[固定出现][任务]皇室觐见2-4-1，灼热沙地旅馆侧后方</t>
  </si>
  <si>
    <t>卡辛哨站</t>
  </si>
  <si>
    <t>帝国警卫的补给品</t>
  </si>
  <si>
    <t>[固定出现]进入哨站就能看见</t>
  </si>
  <si>
    <t>帝国警卫的行囊</t>
  </si>
  <si>
    <t>[固定出现][任务]2-4-1</t>
  </si>
  <si>
    <t>被折磨的邪教徒信使</t>
  </si>
  <si>
    <t>[固定出现]随机位置的尸体，隐秘法会位于凄风苔原</t>
  </si>
  <si>
    <t>彼勒尔的使者</t>
  </si>
  <si>
    <t>[非固定出现]有几个教徒守着，边上有2个帐篷，刷新位置有2个，一个是刚进热风之地(上面那个热风之地)，一个是进去后沿着下面的墙走一段路能看见</t>
  </si>
  <si>
    <t>猎人的背包</t>
  </si>
  <si>
    <t>[固定出现]佐敦·库勒的藏书馆入口周边</t>
  </si>
  <si>
    <t>[固定出现]暗影闸门周边</t>
  </si>
  <si>
    <t>[固定出现][任务]2-8-2佐敦·库勒的第二块精魄拾取后掉落</t>
  </si>
  <si>
    <t>厚重的阿卜杜·哈兹尔卷集</t>
  </si>
  <si>
    <t>[固定出现]冒险模式下开一次会出现全部六本
剧情模式下，选择一个A2比较靠后的任务节点，比如2-8-1，就可以一次拿全。</t>
  </si>
  <si>
    <t>[固定出现]第一次打开时获得，第二次打开会获得“情书”</t>
  </si>
  <si>
    <t>旅者的袋子</t>
  </si>
  <si>
    <t>[固定出现]同一个游戏的凄凉沙地中一定会出现3个旅人小包可以直接集齐</t>
  </si>
  <si>
    <t>铁狼的小包</t>
  </si>
  <si>
    <t>[非固定出现]随机事件“失落的坎·达卡布财宝”，在坎·达卡布的陵墓门口左边边地上</t>
  </si>
  <si>
    <t>死亡的士兵</t>
  </si>
  <si>
    <t>[非固定出现]地上尸体非常多，注意一般尸体是死亡的卫兵，而你要找的是死亡的士兵，且找到也不一定可以获得(注，有BUG，部分职业无法获得，如果不能获得，请建个秘术师小号去取，一定可以获得)</t>
  </si>
  <si>
    <t>未被吃尽的守卫尸体</t>
  </si>
  <si>
    <t>[固定出现][固定位置]击杀贡姆的房间右上方固定位置</t>
  </si>
  <si>
    <t>海勒队长的补给箱</t>
  </si>
  <si>
    <t>[固定出现][固定位置]收藏商人右边</t>
  </si>
  <si>
    <t>[固定出现][固定位置][任务]3-1-1</t>
  </si>
  <si>
    <t>[固定出现][固定位置][任务]3-2-1 找泰瑞尔对话领完任务后</t>
  </si>
  <si>
    <t>[固定出现][固定位置][任务]3-4-1</t>
  </si>
  <si>
    <t>[固定出现][固定位置][任务]3-5-1</t>
  </si>
  <si>
    <t>摩根的小包</t>
  </si>
  <si>
    <t>一个头上有感叹号的士兵，对话后获得</t>
  </si>
  <si>
    <t>阿兹莫丹的信使</t>
  </si>
  <si>
    <t>[固定出现][任务]3-1-1</t>
  </si>
  <si>
    <t>[固定出现][任务]3-2-1</t>
  </si>
  <si>
    <t>[固定出现][任务]3-3-1</t>
  </si>
  <si>
    <t>[固定出现][任务]3-6-1</t>
  </si>
  <si>
    <t>[固定出现][任务]3-7-1</t>
  </si>
  <si>
    <t>放错地方的背包</t>
  </si>
  <si>
    <t xml:space="preserve"> [固定出现]第一次点击放错地方的背包</t>
  </si>
  <si>
    <t xml:space="preserve"> [固定出现]第二次点击放错地方的背包</t>
  </si>
  <si>
    <t xml:space="preserve"> [固定出现]第三次点击放错地方的背包</t>
  </si>
  <si>
    <t xml:space="preserve"> [固定出现]第四次点击放错地方的背包</t>
  </si>
  <si>
    <t xml:space="preserve"> [固定出现]第五次点击放错地方的背包</t>
  </si>
  <si>
    <t>图书管理员的卷轴</t>
  </si>
  <si>
    <t>[非固定出现]在以上三个地点的每层的入口处的地上</t>
  </si>
  <si>
    <t>玛塔</t>
  </si>
  <si>
    <t>[固定出现][固定位置][任务]4-1-1要塞大门口处,是一具尸体</t>
  </si>
  <si>
    <t>天使档案</t>
  </si>
  <si>
    <t>晶天廊</t>
  </si>
  <si>
    <t>衣卒尔</t>
  </si>
  <si>
    <t>[固定出现][固定位置]首次击杀衣卒尔后获得</t>
  </si>
  <si>
    <t>天使宝库</t>
  </si>
  <si>
    <t>[固定出现]第五次点击天使宝库</t>
  </si>
  <si>
    <t>[固定出现]第六次点击天使宝库</t>
  </si>
  <si>
    <t>[固定出现]第七次点击天使宝库</t>
  </si>
  <si>
    <t>[固定出现]第一次点击天使宝库</t>
  </si>
  <si>
    <t>[固定出现]第二次点击天使宝库</t>
  </si>
  <si>
    <t>[固定出现]第三次点击天使宝库</t>
  </si>
  <si>
    <t>[固定出现]第四次点击天使宝库</t>
  </si>
  <si>
    <t>第二章书籍成就汇总</t>
    <phoneticPr fontId="7" type="noConversion"/>
  </si>
  <si>
    <t>第三章书籍成就汇总</t>
    <phoneticPr fontId="7" type="noConversion"/>
  </si>
  <si>
    <t>第四章书籍成就汇总</t>
    <phoneticPr fontId="7" type="noConversion"/>
  </si>
  <si>
    <t>大教堂</t>
    <phoneticPr fontId="20" type="noConversion"/>
  </si>
  <si>
    <t>新崔斯特姆</t>
    <phoneticPr fontId="20" type="noConversion"/>
  </si>
  <si>
    <t>沃桑</t>
    <phoneticPr fontId="20" type="noConversion"/>
  </si>
  <si>
    <t>旧废墟</t>
    <phoneticPr fontId="20" type="noConversion"/>
  </si>
  <si>
    <t>旧崔斯特姆小道-艾德莉亚的小屋</t>
    <phoneticPr fontId="20" type="noConversion"/>
  </si>
  <si>
    <t>新崔斯特姆-莉娅的房间</t>
    <phoneticPr fontId="20" type="noConversion"/>
  </si>
  <si>
    <t>大教堂四层-皇家墓群</t>
    <phoneticPr fontId="20" type="noConversion"/>
  </si>
  <si>
    <t>新崔斯特姆-凯恩的房子</t>
    <phoneticPr fontId="20" type="noConversion"/>
  </si>
  <si>
    <t>南方高地-月亮部族洞穴</t>
    <phoneticPr fontId="20" type="noConversion"/>
  </si>
  <si>
    <t>苦难旷野-珍品屋</t>
    <phoneticPr fontId="20" type="noConversion"/>
  </si>
  <si>
    <t>奈非天秘境</t>
    <phoneticPr fontId="20" type="noConversion"/>
  </si>
  <si>
    <t>苦难旷野-小棚屋</t>
    <phoneticPr fontId="20" type="noConversion"/>
  </si>
  <si>
    <t>舊鎮道路-愛德莉雅的小屋</t>
    <phoneticPr fontId="20" type="noConversion"/>
  </si>
  <si>
    <t>新崔斯特姆-莉亞的房間</t>
    <phoneticPr fontId="20" type="noConversion"/>
  </si>
  <si>
    <t>悲慘之原-避難小屋</t>
    <phoneticPr fontId="20" type="noConversion"/>
  </si>
  <si>
    <t>南方高地-高地哨塔二层</t>
    <phoneticPr fontId="20" type="noConversion"/>
  </si>
  <si>
    <t>南部高地-瞭望塔第二層</t>
    <phoneticPr fontId="20" type="noConversion"/>
  </si>
  <si>
    <t>新崔斯特姆-凱恩的房間</t>
    <phoneticPr fontId="20" type="noConversion"/>
  </si>
  <si>
    <t>悲慘之原-古董之家</t>
    <phoneticPr fontId="20" type="noConversion"/>
  </si>
  <si>
    <t>新崔斯特姆</t>
    <phoneticPr fontId="20" type="noConversion"/>
  </si>
  <si>
    <t>沃薩姆村</t>
    <phoneticPr fontId="20" type="noConversion"/>
  </si>
  <si>
    <t>舊鎮廢墟</t>
    <phoneticPr fontId="20" type="noConversion"/>
  </si>
  <si>
    <t>北方高地</t>
    <phoneticPr fontId="20" type="noConversion"/>
  </si>
  <si>
    <t>烂木林-先祖墓穴</t>
    <phoneticPr fontId="20" type="noConversion"/>
  </si>
  <si>
    <t>北部高地</t>
    <phoneticPr fontId="20" type="noConversion"/>
  </si>
  <si>
    <t>腐潰之林-先祖墓穴</t>
    <phoneticPr fontId="20" type="noConversion"/>
  </si>
  <si>
    <t>沉沒神殿</t>
    <phoneticPr fontId="20" type="noConversion"/>
  </si>
  <si>
    <t>A1</t>
    <phoneticPr fontId="20" type="noConversion"/>
  </si>
  <si>
    <t>南部高地-月族洞穴</t>
    <phoneticPr fontId="20" type="noConversion"/>
  </si>
  <si>
    <t>[固定出现]有可能会出现多个</t>
    <phoneticPr fontId="34" type="noConversion"/>
  </si>
  <si>
    <t>[固定出现][固定位置]进门杀完一层所有邪教徒后获得</t>
    <phoneticPr fontId="34" type="noConversion"/>
  </si>
  <si>
    <t>新崔斯特姆-屠牛旅店</t>
    <phoneticPr fontId="20" type="noConversion"/>
  </si>
  <si>
    <t>新崔斯特姆-屠牛旅馆</t>
    <phoneticPr fontId="20" type="noConversion"/>
  </si>
  <si>
    <t>[非固定出现]废弃的地窖位于崖山矿场，地窖是随机出现，莱拉只位于传送点正上方的地窖中，如果没有莱拉，那里会是一只紫怪</t>
    <phoneticPr fontId="34" type="noConversion"/>
  </si>
  <si>
    <t>崖山矿场-废弃的地窖</t>
    <phoneticPr fontId="20" type="noConversion"/>
  </si>
  <si>
    <t>凄凉沙漠-背叛者洞穴一层</t>
    <phoneticPr fontId="20" type="noConversion"/>
  </si>
  <si>
    <t>凄凉沙漠-背叛者洞穴二层</t>
    <phoneticPr fontId="20" type="noConversion"/>
  </si>
  <si>
    <t>佐敦·库勒藏书馆-灵魂石大厅</t>
    <phoneticPr fontId="20" type="noConversion"/>
  </si>
  <si>
    <t>卡尔蒂姆集市</t>
    <phoneticPr fontId="20" type="noConversion"/>
  </si>
  <si>
    <t>卡尔蒂姆集市-灼热沙地旅馆</t>
    <phoneticPr fontId="20" type="noConversion"/>
  </si>
  <si>
    <t>凄风苔原-福阿德的地窖</t>
    <phoneticPr fontId="20" type="noConversion"/>
  </si>
  <si>
    <t>凄风苔原-秘密祭坛</t>
    <phoneticPr fontId="20" type="noConversion"/>
  </si>
  <si>
    <t>凄风苔原-隐秘法会</t>
    <phoneticPr fontId="20" type="noConversion"/>
  </si>
  <si>
    <t>嚎泣高原-福奥德的地窖</t>
    <phoneticPr fontId="20" type="noConversion"/>
  </si>
  <si>
    <t>秘密营地</t>
    <phoneticPr fontId="20" type="noConversion"/>
  </si>
  <si>
    <t>黑谷矿坑-遗弃的地窖</t>
    <phoneticPr fontId="20" type="noConversion"/>
  </si>
  <si>
    <t>淒涼沙地-背叛者洞穴</t>
    <phoneticPr fontId="20" type="noConversion"/>
  </si>
  <si>
    <t>淒涼沙地-背叛者洞穴第一層</t>
    <phoneticPr fontId="20" type="noConversion"/>
  </si>
  <si>
    <t>淒涼沙地-背叛者洞穴第二層</t>
    <phoneticPr fontId="20" type="noConversion"/>
  </si>
  <si>
    <t>佐敦庫勒秘庫-靈魂石大廳</t>
    <phoneticPr fontId="20" type="noConversion"/>
  </si>
  <si>
    <t>嚎泣高原-隐秘会所</t>
    <phoneticPr fontId="20" type="noConversion"/>
  </si>
  <si>
    <t>嚎泣高原-秘密祭坛</t>
    <phoneticPr fontId="20" type="noConversion"/>
  </si>
  <si>
    <t>卡爾蒂姆市集</t>
    <phoneticPr fontId="20" type="noConversion"/>
  </si>
  <si>
    <t>卡辛姆哨站</t>
    <phoneticPr fontId="20" type="noConversion"/>
  </si>
  <si>
    <t>卡爾蒂姆市集-灼沙旅店</t>
    <phoneticPr fontId="20" type="noConversion"/>
  </si>
  <si>
    <r>
      <t>A</t>
    </r>
    <r>
      <rPr>
        <sz val="10"/>
        <rFont val="宋体"/>
        <family val="3"/>
        <charset val="134"/>
      </rPr>
      <t>2</t>
    </r>
    <phoneticPr fontId="20" type="noConversion"/>
  </si>
  <si>
    <r>
      <t>A</t>
    </r>
    <r>
      <rPr>
        <sz val="10"/>
        <rFont val="宋体"/>
        <family val="3"/>
        <charset val="134"/>
      </rPr>
      <t>2</t>
    </r>
    <r>
      <rPr>
        <sz val="12"/>
        <rFont val="宋体"/>
        <family val="3"/>
        <charset val="134"/>
      </rPr>
      <t/>
    </r>
  </si>
  <si>
    <t>[固定出现]在任意位置点击三次摩根的小包即可</t>
    <phoneticPr fontId="34" type="noConversion"/>
  </si>
  <si>
    <t>☆数据暂缺☆</t>
    <phoneticPr fontId="20" type="noConversion"/>
  </si>
  <si>
    <t>要塞下層第三層-食物貯藏室</t>
    <phoneticPr fontId="20" type="noConversion"/>
  </si>
  <si>
    <t>要塞深渊三层-储藏室</t>
    <phoneticPr fontId="20" type="noConversion"/>
  </si>
  <si>
    <t>戍衛要塞堡壘</t>
    <phoneticPr fontId="20" type="noConversion"/>
  </si>
  <si>
    <t>戍衛要塞堡壘-军械库</t>
    <phoneticPr fontId="20" type="noConversion"/>
  </si>
  <si>
    <t>巴斯廷要塞据点</t>
    <phoneticPr fontId="20" type="noConversion"/>
  </si>
  <si>
    <t>巴斯廷要塞据点-要塞军械库</t>
    <phoneticPr fontId="20" type="noConversion"/>
  </si>
  <si>
    <t>戰場-鑄造廠</t>
    <phoneticPr fontId="20" type="noConversion"/>
  </si>
  <si>
    <t>A3</t>
    <phoneticPr fontId="20" type="noConversion"/>
  </si>
  <si>
    <r>
      <t>A</t>
    </r>
    <r>
      <rPr>
        <sz val="10"/>
        <rFont val="宋体"/>
        <family val="3"/>
        <charset val="134"/>
      </rPr>
      <t>3</t>
    </r>
    <phoneticPr fontId="20" type="noConversion"/>
  </si>
  <si>
    <r>
      <t>A</t>
    </r>
    <r>
      <rPr>
        <sz val="10"/>
        <rFont val="宋体"/>
        <family val="3"/>
        <charset val="134"/>
      </rPr>
      <t>3</t>
    </r>
    <r>
      <rPr>
        <sz val="12"/>
        <rFont val="宋体"/>
        <family val="3"/>
        <charset val="134"/>
      </rPr>
      <t/>
    </r>
  </si>
  <si>
    <t>地獄之門</t>
    <phoneticPr fontId="20" type="noConversion"/>
  </si>
  <si>
    <t>地狱裂隙</t>
  </si>
  <si>
    <t>天翼橋</t>
    <phoneticPr fontId="20" type="noConversion"/>
  </si>
  <si>
    <t>银色高塔</t>
    <phoneticPr fontId="20" type="noConversion"/>
  </si>
  <si>
    <t>銀光尖塔</t>
    <phoneticPr fontId="20" type="noConversion"/>
  </si>
  <si>
    <t>后缀</t>
    <phoneticPr fontId="20" type="noConversion"/>
  </si>
  <si>
    <t>前缀</t>
    <phoneticPr fontId="20" type="noConversion"/>
  </si>
  <si>
    <t>公式</t>
    <phoneticPr fontId="20" type="noConversion"/>
  </si>
  <si>
    <r>
      <t>A</t>
    </r>
    <r>
      <rPr>
        <sz val="10"/>
        <rFont val="宋体"/>
        <family val="3"/>
        <charset val="134"/>
      </rPr>
      <t>4</t>
    </r>
    <phoneticPr fontId="20" type="noConversion"/>
  </si>
  <si>
    <t>☆数据暂缺☆</t>
    <phoneticPr fontId="20" type="noConversion"/>
  </si>
  <si>
    <t>名称</t>
    <phoneticPr fontId="34" type="noConversion"/>
  </si>
  <si>
    <t>地点</t>
    <phoneticPr fontId="34" type="noConversion"/>
  </si>
  <si>
    <t>获取源</t>
    <phoneticPr fontId="34" type="noConversion"/>
  </si>
  <si>
    <t>备注</t>
    <phoneticPr fontId="34" type="noConversion"/>
  </si>
  <si>
    <t>名称</t>
    <phoneticPr fontId="34" type="noConversion"/>
  </si>
  <si>
    <t>书籍</t>
    <phoneticPr fontId="20" type="noConversion"/>
  </si>
  <si>
    <t>掉落源</t>
    <phoneticPr fontId="20" type="noConversion"/>
  </si>
  <si>
    <r>
      <t>A</t>
    </r>
    <r>
      <rPr>
        <sz val="10"/>
        <rFont val="宋体"/>
        <family val="3"/>
        <charset val="134"/>
      </rPr>
      <t>1</t>
    </r>
    <phoneticPr fontId="20" type="noConversion"/>
  </si>
  <si>
    <r>
      <t>A</t>
    </r>
    <r>
      <rPr>
        <sz val="10"/>
        <rFont val="宋体"/>
        <family val="3"/>
        <charset val="134"/>
      </rPr>
      <t>1</t>
    </r>
    <r>
      <rPr>
        <sz val="12"/>
        <rFont val="宋体"/>
        <family val="3"/>
        <charset val="134"/>
      </rPr>
      <t/>
    </r>
  </si>
  <si>
    <r>
      <t>A</t>
    </r>
    <r>
      <rPr>
        <sz val="10"/>
        <rFont val="宋体"/>
        <family val="3"/>
        <charset val="134"/>
      </rPr>
      <t>2</t>
    </r>
    <r>
      <rPr>
        <sz val="12"/>
        <rFont val="宋体"/>
        <family val="3"/>
        <charset val="134"/>
      </rPr>
      <t/>
    </r>
  </si>
  <si>
    <r>
      <t>A</t>
    </r>
    <r>
      <rPr>
        <sz val="10"/>
        <rFont val="宋体"/>
        <family val="3"/>
        <charset val="134"/>
      </rPr>
      <t>3</t>
    </r>
    <phoneticPr fontId="20" type="noConversion"/>
  </si>
  <si>
    <r>
      <t>A</t>
    </r>
    <r>
      <rPr>
        <sz val="10"/>
        <rFont val="宋体"/>
        <family val="3"/>
        <charset val="134"/>
      </rPr>
      <t>3</t>
    </r>
    <r>
      <rPr>
        <sz val="12"/>
        <rFont val="宋体"/>
        <family val="3"/>
        <charset val="134"/>
      </rPr>
      <t/>
    </r>
  </si>
  <si>
    <r>
      <t>A</t>
    </r>
    <r>
      <rPr>
        <sz val="10"/>
        <rFont val="宋体"/>
        <family val="3"/>
        <charset val="134"/>
      </rPr>
      <t>4</t>
    </r>
    <phoneticPr fontId="20" type="noConversion"/>
  </si>
  <si>
    <r>
      <t>A</t>
    </r>
    <r>
      <rPr>
        <sz val="10"/>
        <rFont val="宋体"/>
        <family val="3"/>
        <charset val="134"/>
      </rPr>
      <t>4</t>
    </r>
    <r>
      <rPr>
        <sz val="12"/>
        <rFont val="宋体"/>
        <family val="3"/>
        <charset val="134"/>
      </rPr>
      <t/>
    </r>
  </si>
  <si>
    <t>屍王克提斯</t>
  </si>
  <si>
    <t>聖堂騎士</t>
  </si>
  <si>
    <t>厄傑爾的背袋</t>
  </si>
  <si>
    <t>塞佛林</t>
  </si>
  <si>
    <t>文頓領主</t>
  </si>
  <si>
    <t>葛瑞爾</t>
  </si>
  <si>
    <t>愛德莉雅的背袋</t>
  </si>
  <si>
    <t>拉基斯的日誌</t>
  </si>
  <si>
    <t>上古文獻</t>
  </si>
  <si>
    <r>
      <t>A</t>
    </r>
    <r>
      <rPr>
        <sz val="10"/>
        <rFont val="宋体"/>
        <family val="3"/>
        <charset val="134"/>
      </rPr>
      <t>5</t>
    </r>
    <phoneticPr fontId="20" type="noConversion"/>
  </si>
  <si>
    <r>
      <t>A</t>
    </r>
    <r>
      <rPr>
        <sz val="10"/>
        <rFont val="宋体"/>
        <family val="3"/>
        <charset val="134"/>
      </rPr>
      <t>5</t>
    </r>
    <r>
      <rPr>
        <sz val="12"/>
        <rFont val="宋体"/>
        <family val="3"/>
        <charset val="134"/>
      </rPr>
      <t/>
    </r>
  </si>
  <si>
    <t>莉亞</t>
  </si>
  <si>
    <t>抄寫台</t>
  </si>
  <si>
    <t>斯維卡德的屍體</t>
  </si>
  <si>
    <t>護甲鍛造師凡戴爾</t>
  </si>
  <si>
    <t>盜賊林登</t>
  </si>
  <si>
    <t>李奧瑞克王</t>
  </si>
  <si>
    <t>工匠的物品</t>
  </si>
  <si>
    <t>牧師的背袋</t>
  </si>
  <si>
    <t>鐵匠的私人物品</t>
  </si>
  <si>
    <t>老舊紀念品箱</t>
  </si>
  <si>
    <t>發霉的講臺</t>
  </si>
  <si>
    <t>死亡的旅行者</t>
  </si>
  <si>
    <t>腐爛的屍體</t>
  </si>
  <si>
    <t>冒險者屍體</t>
  </si>
  <si>
    <t>盜墓賊屍體</t>
  </si>
  <si>
    <t>古老的骸骨</t>
  </si>
  <si>
    <t>古老的骷髏</t>
  </si>
  <si>
    <t>講台/發霉的講台</t>
    <phoneticPr fontId="20" type="noConversion"/>
  </si>
  <si>
    <t>讲台/发霉的讲坛</t>
    <phoneticPr fontId="20" type="noConversion"/>
  </si>
  <si>
    <t>滿是灰塵的袋子</t>
  </si>
  <si>
    <t>新崔斯特姆的歷史</t>
    <phoneticPr fontId="20" type="noConversion"/>
  </si>
  <si>
    <t>抄寫台</t>
    <phoneticPr fontId="20" type="noConversion"/>
  </si>
  <si>
    <t>迪卡·凱恩的日誌</t>
    <phoneticPr fontId="20" type="noConversion"/>
  </si>
  <si>
    <t>被偷走的袋子</t>
    <phoneticPr fontId="20" type="noConversion"/>
  </si>
  <si>
    <t>巫瑞克的背袋</t>
    <phoneticPr fontId="20" type="noConversion"/>
  </si>
  <si>
    <t>沃薩姆居民的屍體</t>
    <phoneticPr fontId="20" type="noConversion"/>
  </si>
  <si>
    <t>召喚者</t>
    <phoneticPr fontId="20" type="noConversion"/>
  </si>
  <si>
    <t>遺失的箱子</t>
    <phoneticPr fontId="20" type="noConversion"/>
  </si>
  <si>
    <t>瓦瑞夫屍體</t>
    <phoneticPr fontId="20" type="noConversion"/>
  </si>
  <si>
    <t>老舊紀念品箱</t>
    <phoneticPr fontId="20" type="noConversion"/>
  </si>
  <si>
    <t>迪卡德·凱恩的日志</t>
    <phoneticPr fontId="20" type="noConversion"/>
  </si>
  <si>
    <t>背袋</t>
  </si>
  <si>
    <t>艾蓮娜</t>
  </si>
  <si>
    <t>鐵狼隊長的屍體</t>
  </si>
  <si>
    <t>沈老貪</t>
  </si>
  <si>
    <t>凱菈</t>
  </si>
  <si>
    <t>菈娜</t>
  </si>
  <si>
    <t>佐頓庫勒的日誌</t>
  </si>
  <si>
    <t>凱恩遺失的背包</t>
  </si>
  <si>
    <t>紀念品箱</t>
  </si>
  <si>
    <t>骨骸</t>
  </si>
  <si>
    <t>波爾塔赫的背袋</t>
  </si>
  <si>
    <t>扭曲的屍體</t>
  </si>
  <si>
    <t>帝國衛兵的補給品</t>
  </si>
  <si>
    <t>帝國衛兵的行囊</t>
  </si>
  <si>
    <t>受到折磨的教徒信使</t>
  </si>
  <si>
    <t>彼列使者</t>
  </si>
  <si>
    <t>獵人的背包</t>
  </si>
  <si>
    <t>哈茲爾的厚重书本</t>
  </si>
  <si>
    <t>旅人小包</t>
  </si>
  <si>
    <t>鐵狼衛士的背袋</t>
  </si>
  <si>
    <t>吃人的福奥德</t>
    <phoneticPr fontId="20" type="noConversion"/>
  </si>
  <si>
    <t>費祖爾</t>
    <phoneticPr fontId="20" type="noConversion"/>
  </si>
  <si>
    <t>達厄古綠洲-腐朽地窖</t>
    <phoneticPr fontId="20" type="noConversion"/>
  </si>
  <si>
    <t>达尔格绿洲</t>
    <phoneticPr fontId="20" type="noConversion"/>
  </si>
  <si>
    <t>达尔格绿洲-腐烂的地窖</t>
    <phoneticPr fontId="20" type="noConversion"/>
  </si>
  <si>
    <t>死亡的士兵</t>
    <phoneticPr fontId="20" type="noConversion"/>
  </si>
  <si>
    <t>被吃掉一半的守衛</t>
    <phoneticPr fontId="20" type="noConversion"/>
  </si>
  <si>
    <t>海利隊長的補給箱</t>
    <phoneticPr fontId="20" type="noConversion"/>
  </si>
  <si>
    <t>摩根的背袋</t>
    <phoneticPr fontId="20" type="noConversion"/>
  </si>
  <si>
    <t>莉娅的书</t>
    <phoneticPr fontId="20" type="noConversion"/>
  </si>
  <si>
    <t>阿茲莫丹的信使</t>
    <phoneticPr fontId="20" type="noConversion"/>
  </si>
  <si>
    <t>錯放的背包</t>
    <phoneticPr fontId="20" type="noConversion"/>
  </si>
  <si>
    <t>圖書管理員的卷軸</t>
    <phoneticPr fontId="20" type="noConversion"/>
  </si>
  <si>
    <t>瑪塔</t>
    <phoneticPr fontId="20" type="noConversion"/>
  </si>
  <si>
    <t>伊卒爾</t>
    <phoneticPr fontId="20" type="noConversion"/>
  </si>
  <si>
    <t xml:space="preserve">安傑瑞斯文庫 </t>
    <phoneticPr fontId="20" type="noConversion"/>
  </si>
  <si>
    <t>克迪斯勋爵</t>
  </si>
  <si>
    <t>圣殿骑士柯麦克</t>
  </si>
  <si>
    <t>厄兹尔的小包</t>
  </si>
  <si>
    <t>瑟夫林</t>
  </si>
  <si>
    <t>怀顿领主</t>
  </si>
  <si>
    <t>格雷尔</t>
  </si>
  <si>
    <t>艾德莉亚的小包</t>
  </si>
  <si>
    <t>拉基斯的誓约</t>
  </si>
  <si>
    <t>古老的文稿</t>
  </si>
  <si>
    <t>失踪的战士</t>
  </si>
  <si>
    <t>泰瑞尔</t>
  </si>
  <si>
    <t>大团长的小包</t>
  </si>
  <si>
    <t>守财奴的背袋</t>
  </si>
  <si>
    <t>卡萨蒂亚</t>
  </si>
  <si>
    <t>精美的宝箱</t>
  </si>
  <si>
    <t>迪亚德拉的小包</t>
  </si>
  <si>
    <t>逃兵的背包</t>
  </si>
  <si>
    <t>天使卷轴</t>
  </si>
  <si>
    <t>古尸</t>
  </si>
  <si>
    <t>☆数据暂缺☆</t>
    <phoneticPr fontId="20" type="noConversion"/>
  </si>
  <si>
    <t>A3</t>
    <phoneticPr fontId="20" type="noConversion"/>
  </si>
  <si>
    <t>安傑瑞斯文庫</t>
    <phoneticPr fontId="20" type="noConversion"/>
  </si>
  <si>
    <t>祭司的靜思：第二篇</t>
    <phoneticPr fontId="20" type="noConversion"/>
  </si>
  <si>
    <t>[固定出现]第一次点击布满灰尘的袋子</t>
    <phoneticPr fontId="34" type="noConversion"/>
  </si>
  <si>
    <t>莉亞的日誌</t>
    <phoneticPr fontId="20" type="noConversion"/>
  </si>
  <si>
    <t>愛德莉雅</t>
    <phoneticPr fontId="20" type="noConversion"/>
  </si>
  <si>
    <t>第五章事件成就汇总</t>
    <phoneticPr fontId="7" type="noConversion"/>
  </si>
  <si>
    <t>被激怒的亡者</t>
    <phoneticPr fontId="46" type="noConversion"/>
  </si>
  <si>
    <t>托里弗的最后一战</t>
    <phoneticPr fontId="46" type="noConversion"/>
  </si>
  <si>
    <t>死神之触</t>
    <phoneticPr fontId="46" type="noConversion"/>
  </si>
  <si>
    <t>闲庭信步</t>
    <phoneticPr fontId="46" type="noConversion"/>
  </si>
  <si>
    <t>收割者</t>
    <phoneticPr fontId="46" type="noConversion"/>
  </si>
  <si>
    <t>耻辱之死</t>
    <phoneticPr fontId="46" type="noConversion"/>
  </si>
  <si>
    <t>趁火打劫</t>
    <phoneticPr fontId="46" type="noConversion"/>
  </si>
  <si>
    <t>死灵法师的抉择</t>
    <phoneticPr fontId="46" type="noConversion"/>
  </si>
  <si>
    <t>重生的邪教徒</t>
    <phoneticPr fontId="46" type="noConversion"/>
  </si>
  <si>
    <t>守财奴的遗嘱</t>
    <phoneticPr fontId="46" type="noConversion"/>
  </si>
  <si>
    <t>背水一战</t>
    <phoneticPr fontId="46" type="noConversion"/>
  </si>
  <si>
    <t>失踪的巡逻兵</t>
    <phoneticPr fontId="46" type="noConversion"/>
  </si>
  <si>
    <t>魔法暴走</t>
    <phoneticPr fontId="46" type="noConversion"/>
  </si>
  <si>
    <t>找回记忆</t>
    <phoneticPr fontId="46" type="noConversion"/>
  </si>
  <si>
    <t>逃离火海</t>
    <phoneticPr fontId="46" type="noConversion"/>
  </si>
  <si>
    <t>捉迷藏</t>
    <phoneticPr fontId="46" type="noConversion"/>
  </si>
  <si>
    <t>农民造反</t>
    <phoneticPr fontId="46" type="noConversion"/>
  </si>
  <si>
    <t>贵族之死</t>
    <phoneticPr fontId="46" type="noConversion"/>
  </si>
  <si>
    <t>狼王真子</t>
    <phoneticPr fontId="46" type="noConversion"/>
  </si>
  <si>
    <t>墓穴专家</t>
    <phoneticPr fontId="46" type="noConversion"/>
  </si>
  <si>
    <t>盗墓贼</t>
    <phoneticPr fontId="46" type="noConversion"/>
  </si>
  <si>
    <t>佩尼的请求</t>
    <phoneticPr fontId="46" type="noConversion"/>
  </si>
  <si>
    <t>险恶的处境</t>
    <phoneticPr fontId="46" type="noConversion"/>
  </si>
  <si>
    <t>悲伤祭坛</t>
    <phoneticPr fontId="46" type="noConversion"/>
  </si>
  <si>
    <t>沼泽山之王</t>
    <phoneticPr fontId="46" type="noConversion"/>
  </si>
  <si>
    <t>研究难题</t>
    <phoneticPr fontId="46" type="noConversion"/>
  </si>
  <si>
    <t>火人</t>
    <phoneticPr fontId="46" type="noConversion"/>
  </si>
  <si>
    <t>沼泽兽宝藏</t>
    <phoneticPr fontId="46" type="noConversion"/>
  </si>
  <si>
    <t>虫母</t>
    <phoneticPr fontId="46" type="noConversion"/>
  </si>
  <si>
    <t>遗失已久的记忆</t>
    <phoneticPr fontId="46" type="noConversion"/>
  </si>
  <si>
    <t>黄金密室</t>
    <phoneticPr fontId="46" type="noConversion"/>
  </si>
  <si>
    <t>被时间所遗忘的战争</t>
    <phoneticPr fontId="46" type="noConversion"/>
  </si>
  <si>
    <t>恶魔囚徒</t>
    <phoneticPr fontId="46" type="noConversion"/>
  </si>
  <si>
    <t>声东击西</t>
    <phoneticPr fontId="46" type="noConversion"/>
  </si>
  <si>
    <t>灭魂仪</t>
    <phoneticPr fontId="46" type="noConversion"/>
  </si>
  <si>
    <t>复活</t>
    <phoneticPr fontId="46" type="noConversion"/>
  </si>
  <si>
    <t>猛烈攻击</t>
    <phoneticPr fontId="46" type="noConversion"/>
  </si>
  <si>
    <t>恶魔之笼</t>
    <phoneticPr fontId="46" type="noConversion"/>
  </si>
  <si>
    <t>信仰飞跃</t>
    <phoneticPr fontId="46" type="noConversion"/>
  </si>
  <si>
    <t>判决</t>
    <phoneticPr fontId="46" type="noConversion"/>
  </si>
  <si>
    <t>失落的军团</t>
    <phoneticPr fontId="46" type="noConversion"/>
  </si>
  <si>
    <t>远古囚牢</t>
    <phoneticPr fontId="46" type="noConversion"/>
  </si>
  <si>
    <t>超时</t>
    <phoneticPr fontId="46" type="noConversion"/>
  </si>
  <si>
    <t>水晶牢笼</t>
    <phoneticPr fontId="46" type="noConversion"/>
  </si>
  <si>
    <t>事件</t>
    <phoneticPr fontId="20" type="noConversion"/>
  </si>
  <si>
    <t>随机</t>
    <phoneticPr fontId="20" type="noConversion"/>
  </si>
  <si>
    <t>遇襲的宅邸</t>
  </si>
  <si>
    <t>文顿庭院</t>
  </si>
  <si>
    <t>克莱夫顿大厅</t>
  </si>
  <si>
    <t>盧瑞石洞第二層</t>
  </si>
  <si>
    <t>杀戮楼层</t>
  </si>
  <si>
    <t>被洗劫的住宅</t>
  </si>
  <si>
    <t>黑魔法大厅</t>
  </si>
  <si>
    <t>废弃的邪教徒储藏室</t>
  </si>
  <si>
    <t>守财奴的小屋</t>
  </si>
  <si>
    <t>走私者的旧仓库</t>
  </si>
  <si>
    <t>图斯汀的酿酒坊</t>
  </si>
  <si>
    <t>巫师的房间</t>
  </si>
  <si>
    <t>藏尸房</t>
  </si>
  <si>
    <t>海勒队长的屋子</t>
  </si>
  <si>
    <t>遇袭的宅邸</t>
  </si>
  <si>
    <t>怀顿庭院</t>
  </si>
  <si>
    <t>克里夫顿大厅</t>
  </si>
  <si>
    <t>沼泽兽窝居地</t>
  </si>
  <si>
    <t>卢雷石洞二层</t>
  </si>
  <si>
    <t>羊肠洞穴</t>
  </si>
  <si>
    <t>永恒之崖</t>
  </si>
  <si>
    <t>魔巢废墟</t>
  </si>
  <si>
    <t>地图</t>
    <phoneticPr fontId="20" type="noConversion"/>
  </si>
  <si>
    <t>事件地下城</t>
    <phoneticPr fontId="20" type="noConversion"/>
  </si>
  <si>
    <t>稀有現象</t>
    <phoneticPr fontId="20" type="noConversion"/>
  </si>
  <si>
    <t>罕见现象</t>
    <phoneticPr fontId="20" type="noConversion"/>
  </si>
  <si>
    <t>稀世奇人</t>
    <phoneticPr fontId="20" type="noConversion"/>
  </si>
  <si>
    <t>獨特收藏 特殊任務 獨一無二的你</t>
    <phoneticPr fontId="20" type="noConversion"/>
  </si>
  <si>
    <t>独特藏品 特殊任务 独一无二的你</t>
    <phoneticPr fontId="20" type="noConversion"/>
  </si>
  <si>
    <t>稀有族群</t>
    <phoneticPr fontId="20" type="noConversion"/>
  </si>
  <si>
    <t>勇士的收藏</t>
    <phoneticPr fontId="20" type="noConversion"/>
  </si>
  <si>
    <t>勇士克星</t>
    <phoneticPr fontId="20" type="noConversion"/>
  </si>
  <si>
    <t>海扁勇士</t>
    <phoneticPr fontId="20" type="noConversion"/>
  </si>
  <si>
    <t>海扁勇士</t>
    <phoneticPr fontId="20" type="noConversion"/>
  </si>
  <si>
    <t>戰利品狩獵</t>
  </si>
  <si>
    <t>猎取战利品</t>
    <phoneticPr fontId="20" type="noConversion"/>
  </si>
  <si>
    <t>勇士進行曲</t>
    <phoneticPr fontId="20" type="noConversion"/>
  </si>
  <si>
    <t>我们才是勇士</t>
    <phoneticPr fontId="20" type="noConversion"/>
  </si>
  <si>
    <t>词条</t>
    <phoneticPr fontId="20" type="noConversion"/>
  </si>
  <si>
    <t>成就名</t>
    <phoneticPr fontId="20" type="noConversion"/>
  </si>
  <si>
    <t>全章节</t>
    <phoneticPr fontId="20" type="noConversion"/>
  </si>
  <si>
    <t>A5</t>
    <phoneticPr fontId="20" type="noConversion"/>
  </si>
  <si>
    <t>☆数据暂缺☆</t>
    <phoneticPr fontId="20" type="noConversion"/>
  </si>
  <si>
    <t>速讀強記</t>
    <phoneticPr fontId="20" type="noConversion"/>
  </si>
  <si>
    <t>做好筆記</t>
    <phoneticPr fontId="20" type="noConversion"/>
  </si>
  <si>
    <t>崔斯特姆史學家</t>
    <phoneticPr fontId="20" type="noConversion"/>
  </si>
  <si>
    <t>明辨忠奸</t>
    <phoneticPr fontId="20" type="noConversion"/>
  </si>
  <si>
    <t>隔牆有耳</t>
    <phoneticPr fontId="20" type="noConversion"/>
  </si>
  <si>
    <t>卡爾蒂姆史學家</t>
    <phoneticPr fontId="20" type="noConversion"/>
  </si>
  <si>
    <t>第一手消息</t>
    <phoneticPr fontId="20" type="noConversion"/>
  </si>
  <si>
    <t>諜報活動</t>
    <phoneticPr fontId="20" type="noConversion"/>
  </si>
  <si>
    <t>亞瑞特史學家</t>
    <phoneticPr fontId="20" type="noConversion"/>
  </si>
  <si>
    <t>萬事通</t>
    <phoneticPr fontId="20" type="noConversion"/>
  </si>
  <si>
    <t>檔案學</t>
    <phoneticPr fontId="20" type="noConversion"/>
  </si>
  <si>
    <t>至高天史學家</t>
    <phoneticPr fontId="20" type="noConversion"/>
  </si>
  <si>
    <t>尋人高手</t>
    <phoneticPr fontId="20" type="noConversion"/>
  </si>
  <si>
    <t>田园调查</t>
    <phoneticPr fontId="20" type="noConversion"/>
  </si>
  <si>
    <t>衛斯馬屈史學家</t>
    <phoneticPr fontId="20" type="noConversion"/>
  </si>
  <si>
    <t>崔斯特姆史学家</t>
  </si>
  <si>
    <t>亚瑞特史学家</t>
    <phoneticPr fontId="20" type="noConversion"/>
  </si>
  <si>
    <t>无所不知</t>
    <phoneticPr fontId="20" type="noConversion"/>
  </si>
  <si>
    <t>找人专家</t>
  </si>
  <si>
    <t>实地考察</t>
  </si>
  <si>
    <t>☆数据暂缺☆</t>
    <phoneticPr fontId="20" type="noConversion"/>
  </si>
  <si>
    <t>☆数据暂缺☆</t>
    <phoneticPr fontId="20" type="noConversion"/>
  </si>
  <si>
    <r>
      <t>A</t>
    </r>
    <r>
      <rPr>
        <sz val="10"/>
        <rFont val="宋体"/>
        <family val="3"/>
        <charset val="134"/>
      </rPr>
      <t>1</t>
    </r>
    <phoneticPr fontId="20" type="noConversion"/>
  </si>
  <si>
    <r>
      <t>A</t>
    </r>
    <r>
      <rPr>
        <sz val="10"/>
        <rFont val="宋体"/>
        <family val="3"/>
        <charset val="134"/>
      </rPr>
      <t>2</t>
    </r>
    <phoneticPr fontId="20" type="noConversion"/>
  </si>
  <si>
    <r>
      <t>A</t>
    </r>
    <r>
      <rPr>
        <sz val="10"/>
        <rFont val="宋体"/>
        <family val="3"/>
        <charset val="134"/>
      </rPr>
      <t>3</t>
    </r>
    <phoneticPr fontId="20" type="noConversion"/>
  </si>
  <si>
    <r>
      <t>A</t>
    </r>
    <r>
      <rPr>
        <sz val="10"/>
        <rFont val="宋体"/>
        <family val="3"/>
        <charset val="134"/>
      </rPr>
      <t>4</t>
    </r>
    <phoneticPr fontId="20" type="noConversion"/>
  </si>
  <si>
    <r>
      <t>A</t>
    </r>
    <r>
      <rPr>
        <sz val="10"/>
        <rFont val="宋体"/>
        <family val="3"/>
        <charset val="134"/>
      </rPr>
      <t>5</t>
    </r>
    <phoneticPr fontId="20" type="noConversion"/>
  </si>
  <si>
    <t>戰利品收藏家</t>
    <phoneticPr fontId="20" type="noConversion"/>
  </si>
  <si>
    <t>显赫人生</t>
    <phoneticPr fontId="20" type="noConversion"/>
  </si>
  <si>
    <t>勇士你和我</t>
    <phoneticPr fontId="20" type="noConversion"/>
  </si>
  <si>
    <t>弱者必须死</t>
    <phoneticPr fontId="20" type="noConversion"/>
  </si>
  <si>
    <t>衛斯馬屈景點一覽</t>
    <phoneticPr fontId="20" type="noConversion"/>
  </si>
  <si>
    <t>吾王萬歲</t>
    <phoneticPr fontId="20" type="noConversion"/>
  </si>
  <si>
    <t>墓仔埔也敢去</t>
    <phoneticPr fontId="20" type="noConversion"/>
  </si>
  <si>
    <t>沼澤狀遊</t>
    <phoneticPr fontId="20" type="noConversion"/>
  </si>
  <si>
    <t>真與幻的邊緣</t>
    <phoneticPr fontId="20" type="noConversion"/>
  </si>
  <si>
    <t>观光旅行</t>
  </si>
  <si>
    <t>吾王万岁</t>
    <phoneticPr fontId="20" type="noConversion"/>
  </si>
  <si>
    <t>墓地游客</t>
  </si>
  <si>
    <t>沼地苦行</t>
  </si>
  <si>
    <t>如幻如真</t>
    <phoneticPr fontId="20" type="noConversion"/>
  </si>
  <si>
    <r>
      <t>A</t>
    </r>
    <r>
      <rPr>
        <sz val="10"/>
        <rFont val="宋体"/>
        <family val="3"/>
        <charset val="134"/>
      </rPr>
      <t>5</t>
    </r>
    <r>
      <rPr>
        <sz val="11"/>
        <color theme="1"/>
        <rFont val="宋体"/>
        <family val="2"/>
        <charset val="134"/>
        <scheme val="minor"/>
      </rPr>
      <t/>
    </r>
  </si>
  <si>
    <t>名称</t>
    <phoneticPr fontId="34" type="noConversion"/>
  </si>
  <si>
    <t>诅咒宝箱成就汇总</t>
    <phoneticPr fontId="7" type="noConversion"/>
  </si>
  <si>
    <t>名称</t>
    <phoneticPr fontId="7" type="noConversion"/>
  </si>
  <si>
    <t>备注</t>
    <phoneticPr fontId="7" type="noConversion"/>
  </si>
  <si>
    <t>詛咒地窖</t>
  </si>
  <si>
    <t>詛咒烈火</t>
  </si>
  <si>
    <t>詛咒林地</t>
  </si>
  <si>
    <t>詛咒庭院</t>
  </si>
  <si>
    <t>詛咒巢穴</t>
  </si>
  <si>
    <t>詛咒磨坊</t>
  </si>
  <si>
    <t>詛咒骸骨之室</t>
  </si>
  <si>
    <t>詛咒營地</t>
  </si>
  <si>
    <t>旧鎮道路-潮濕的地窖</t>
  </si>
  <si>
    <t>悲慘之原-僻靜林地</t>
  </si>
  <si>
    <t>詛咒哨站</t>
    <phoneticPr fontId="46" type="noConversion"/>
  </si>
  <si>
    <t>詛咒地洞</t>
    <phoneticPr fontId="46" type="noConversion"/>
  </si>
  <si>
    <t>詛咒尖塔</t>
    <phoneticPr fontId="46" type="noConversion"/>
  </si>
  <si>
    <t>詛咒秘庫</t>
    <phoneticPr fontId="46" type="noConversion"/>
  </si>
  <si>
    <t>詛咒城垛</t>
    <phoneticPr fontId="46" type="noConversion"/>
  </si>
  <si>
    <t>詛咒淺灘</t>
    <phoneticPr fontId="46" type="noConversion"/>
  </si>
  <si>
    <t>達厄古綠洲-積水的洞穴第一层</t>
  </si>
  <si>
    <t>詛咒駐軍</t>
    <phoneticPr fontId="46" type="noConversion"/>
  </si>
  <si>
    <t>詛咒火山口</t>
    <phoneticPr fontId="46" type="noConversion"/>
  </si>
  <si>
    <t>詛咒冰川</t>
    <phoneticPr fontId="46" type="noConversion"/>
  </si>
  <si>
    <t>詛咒深淵</t>
    <phoneticPr fontId="46" type="noConversion"/>
  </si>
  <si>
    <t>[固定出现][固定位置][任务]1-3-1，击杀米拉出现，位于铁匠的左下方地上</t>
    <phoneticPr fontId="34" type="noConversion"/>
  </si>
  <si>
    <t>被詛咒的高臺</t>
    <phoneticPr fontId="46" type="noConversion"/>
  </si>
  <si>
    <t>詛咒禮拜堂</t>
    <phoneticPr fontId="46" type="noConversion"/>
  </si>
  <si>
    <t>詛咒骨坑</t>
    <phoneticPr fontId="46" type="noConversion"/>
  </si>
  <si>
    <t>被詛咒的戰情室</t>
    <phoneticPr fontId="46" type="noConversion"/>
  </si>
  <si>
    <t>詛咒廣場</t>
    <phoneticPr fontId="46" type="noConversion"/>
  </si>
  <si>
    <t>被詛咒的泥炭</t>
    <phoneticPr fontId="46" type="noConversion"/>
  </si>
  <si>
    <t>詛咒之城</t>
    <phoneticPr fontId="46" type="noConversion"/>
  </si>
  <si>
    <t>詛咒之境</t>
    <phoneticPr fontId="46" type="noConversion"/>
  </si>
  <si>
    <t>☆</t>
    <phoneticPr fontId="7" type="noConversion"/>
  </si>
  <si>
    <t>地点（☆表示可以通过专门的悬赏任务击杀）</t>
    <phoneticPr fontId="7" type="noConversion"/>
  </si>
  <si>
    <t>地点（☆表示有专门的悬赏任务）</t>
  </si>
  <si>
    <t>崔斯特姆驱咒者</t>
  </si>
  <si>
    <t>卡尔蒂姆驱咒者</t>
    <phoneticPr fontId="20" type="noConversion"/>
  </si>
  <si>
    <t>亚瑞特驱咒者</t>
    <phoneticPr fontId="20" type="noConversion"/>
  </si>
  <si>
    <t>高阶天堂驱咒者</t>
    <phoneticPr fontId="20" type="noConversion"/>
  </si>
  <si>
    <t>威斯特玛史学家</t>
    <phoneticPr fontId="20" type="noConversion"/>
  </si>
  <si>
    <t>威斯特玛驱咒者</t>
    <phoneticPr fontId="20" type="noConversion"/>
  </si>
  <si>
    <t>崔斯特姆詛咒破除者</t>
    <phoneticPr fontId="20" type="noConversion"/>
  </si>
  <si>
    <t>卡爾蒂姆詛咒破除者</t>
    <phoneticPr fontId="20" type="noConversion"/>
  </si>
  <si>
    <t>亞瑞特史詛咒破除者</t>
    <phoneticPr fontId="20" type="noConversion"/>
  </si>
  <si>
    <t>至高天史詛咒破除者</t>
    <phoneticPr fontId="20" type="noConversion"/>
  </si>
  <si>
    <t>衛斯馬屈詛咒破除者</t>
    <phoneticPr fontId="20" type="noConversion"/>
  </si>
  <si>
    <r>
      <t>A</t>
    </r>
    <r>
      <rPr>
        <sz val="10"/>
        <rFont val="宋体"/>
        <family val="3"/>
        <charset val="134"/>
      </rPr>
      <t>3</t>
    </r>
    <r>
      <rPr>
        <sz val="11"/>
        <color theme="1"/>
        <rFont val="宋体"/>
        <family val="2"/>
        <charset val="134"/>
        <scheme val="minor"/>
      </rPr>
      <t/>
    </r>
  </si>
  <si>
    <r>
      <t>A</t>
    </r>
    <r>
      <rPr>
        <sz val="10"/>
        <rFont val="宋体"/>
        <family val="3"/>
        <charset val="134"/>
      </rPr>
      <t>4</t>
    </r>
    <r>
      <rPr>
        <sz val="11"/>
        <color theme="1"/>
        <rFont val="宋体"/>
        <family val="2"/>
        <charset val="134"/>
        <scheme val="minor"/>
      </rPr>
      <t/>
    </r>
  </si>
  <si>
    <t>诅咒地窖</t>
  </si>
  <si>
    <t>诅咒树林</t>
  </si>
  <si>
    <t>诅咒巢穴</t>
  </si>
  <si>
    <t>诅咒磨坊</t>
  </si>
  <si>
    <t>诅咒火狱</t>
  </si>
  <si>
    <t>诅咒庭院</t>
  </si>
  <si>
    <t>诅咒白骨大厅</t>
  </si>
  <si>
    <t>诅咒营地</t>
  </si>
  <si>
    <t>诅咒岗哨</t>
  </si>
  <si>
    <t>诅咒高塔</t>
  </si>
  <si>
    <t>诅咒城垛</t>
  </si>
  <si>
    <t>诅咒之坑</t>
  </si>
  <si>
    <t>诅咒图书馆</t>
  </si>
  <si>
    <t>诅咒浅滩</t>
  </si>
  <si>
    <t>诅咒要塞</t>
  </si>
  <si>
    <t>诅咒冰川</t>
  </si>
  <si>
    <t>诅咒火山</t>
  </si>
  <si>
    <t>诅咒深渊</t>
  </si>
  <si>
    <t>诅咒教堂</t>
  </si>
  <si>
    <t>诅咒高台</t>
  </si>
  <si>
    <t>诅咒白骨坑</t>
  </si>
  <si>
    <t>诅咒广场</t>
  </si>
  <si>
    <t>诅咒之城</t>
  </si>
  <si>
    <t>诅咒作战室</t>
  </si>
  <si>
    <t>诅咒沼泽</t>
  </si>
  <si>
    <t>诅咒之境</t>
  </si>
  <si>
    <t>诅咒</t>
    <phoneticPr fontId="20" type="noConversion"/>
  </si>
  <si>
    <r>
      <t>A</t>
    </r>
    <r>
      <rPr>
        <sz val="10"/>
        <rFont val="宋体"/>
        <family val="3"/>
        <charset val="134"/>
      </rPr>
      <t>2</t>
    </r>
    <r>
      <rPr>
        <sz val="11"/>
        <color theme="1"/>
        <rFont val="宋体"/>
        <family val="2"/>
        <charset val="134"/>
        <scheme val="minor"/>
      </rPr>
      <t/>
    </r>
  </si>
  <si>
    <r>
      <t>A</t>
    </r>
    <r>
      <rPr>
        <sz val="10"/>
        <rFont val="宋体"/>
        <family val="3"/>
        <charset val="134"/>
      </rPr>
      <t>1</t>
    </r>
    <r>
      <rPr>
        <sz val="11"/>
        <color theme="1"/>
        <rFont val="宋体"/>
        <family val="2"/>
        <charset val="134"/>
        <scheme val="minor"/>
      </rPr>
      <t/>
    </r>
  </si>
  <si>
    <t>殺戮戰場-落冰洞穴第一層</t>
  </si>
  <si>
    <t>旧崔斯特姆小道-潮湿的地窖</t>
    <phoneticPr fontId="20" type="noConversion"/>
  </si>
  <si>
    <t>苦痛刑牢第三層</t>
    <phoneticPr fontId="20" type="noConversion"/>
  </si>
  <si>
    <t>达尔格绿洲-漫水洞穴一层</t>
    <phoneticPr fontId="20" type="noConversion"/>
  </si>
  <si>
    <t>血腥战场-寒冰洞二层</t>
    <phoneticPr fontId="20" type="noConversion"/>
  </si>
  <si>
    <t>血腥战场-冰瀑洞穴一层</t>
    <phoneticPr fontId="20" type="noConversion"/>
  </si>
  <si>
    <t>注：所有怪物皆紫名怪物[非固定出现]</t>
    <phoneticPr fontId="7" type="noConversion"/>
  </si>
  <si>
    <t>注：所有诅咒宝箱事件均可在冒险模式刷到。</t>
    <phoneticPr fontId="46" type="noConversion"/>
  </si>
  <si>
    <t>死亡掘墓者</t>
    <phoneticPr fontId="20" type="noConversion"/>
  </si>
  <si>
    <t>暂不开放</t>
    <phoneticPr fontId="20" type="noConversion"/>
  </si>
  <si>
    <t>異屍</t>
    <phoneticPr fontId="20" type="noConversion"/>
  </si>
  <si>
    <t>怪诞魔</t>
    <phoneticPr fontId="20" type="noConversion"/>
  </si>
  <si>
    <t>暗月部族萨满</t>
    <phoneticPr fontId="20" type="noConversion"/>
  </si>
  <si>
    <t>暗月部族战士</t>
    <phoneticPr fontId="20" type="noConversion"/>
  </si>
  <si>
    <t>殺手亡魂</t>
    <phoneticPr fontId="20" type="noConversion"/>
  </si>
  <si>
    <t>恶鬼杀手</t>
    <phoneticPr fontId="20" type="noConversion"/>
  </si>
  <si>
    <t>掘地跃行魔</t>
    <phoneticPr fontId="20" type="noConversion"/>
  </si>
  <si>
    <t>骷髅持盾者</t>
    <phoneticPr fontId="20" type="noConversion"/>
  </si>
  <si>
    <t>骷髅</t>
    <phoneticPr fontId="20" type="noConversion"/>
  </si>
  <si>
    <t>剧毒潜伏者</t>
    <phoneticPr fontId="20" type="noConversion"/>
  </si>
  <si>
    <t>黑暗召唤师</t>
    <phoneticPr fontId="20" type="noConversion"/>
  </si>
  <si>
    <t>无棺尸魔</t>
    <phoneticPr fontId="20" type="noConversion"/>
  </si>
  <si>
    <t>活死人</t>
    <phoneticPr fontId="20" type="noConversion"/>
  </si>
  <si>
    <t>恐怖的掘墓者</t>
    <phoneticPr fontId="20" type="noConversion"/>
  </si>
  <si>
    <t>血祭火鸟</t>
    <phoneticPr fontId="20" type="noConversion"/>
  </si>
  <si>
    <t>豹人女猎手</t>
    <phoneticPr fontId="20" type="noConversion"/>
  </si>
  <si>
    <t>豹人追踪者</t>
    <phoneticPr fontId="20" type="noConversion"/>
  </si>
  <si>
    <t>干瘪的顽魔</t>
    <phoneticPr fontId="20" type="noConversion"/>
  </si>
  <si>
    <t>沙丘长尾蜥</t>
    <phoneticPr fontId="20" type="noConversion"/>
  </si>
  <si>
    <t>剧毒构造体</t>
    <phoneticPr fontId="20" type="noConversion"/>
  </si>
  <si>
    <t>虫群</t>
    <phoneticPr fontId="20" type="noConversion"/>
  </si>
  <si>
    <t>凶狠的残杀者</t>
    <phoneticPr fontId="20" type="noConversion"/>
  </si>
  <si>
    <t>发狂的邪教徒</t>
    <phoneticPr fontId="20" type="noConversion"/>
  </si>
  <si>
    <t>邪恶唤魔者</t>
    <phoneticPr fontId="20" type="noConversion"/>
  </si>
  <si>
    <t>巨型移形兽</t>
    <phoneticPr fontId="20" type="noConversion"/>
  </si>
  <si>
    <t>地狱天鬼</t>
    <phoneticPr fontId="20" type="noConversion"/>
  </si>
  <si>
    <t>魔拉克妖蝠</t>
    <phoneticPr fontId="20" type="noConversion"/>
  </si>
  <si>
    <t>魔翼妖蝠</t>
    <phoneticPr fontId="20" type="noConversion"/>
  </si>
  <si>
    <t>恶魔袭击者</t>
    <phoneticPr fontId="20" type="noConversion"/>
  </si>
  <si>
    <t>被唾弃者</t>
    <phoneticPr fontId="20" type="noConversion"/>
  </si>
  <si>
    <t>炽炎食尸鬼</t>
    <phoneticPr fontId="20" type="noConversion"/>
  </si>
  <si>
    <t>折磨之刺</t>
    <phoneticPr fontId="20" type="noConversion"/>
  </si>
  <si>
    <t>恶魔蛇妖</t>
    <phoneticPr fontId="20" type="noConversion"/>
  </si>
  <si>
    <t>迅捷的劈颅手</t>
    <phoneticPr fontId="20" type="noConversion"/>
  </si>
  <si>
    <t>被腐化的天使</t>
    <phoneticPr fontId="20" type="noConversion"/>
  </si>
  <si>
    <t>施虐者</t>
    <phoneticPr fontId="20" type="noConversion"/>
  </si>
  <si>
    <t>壓制者</t>
    <phoneticPr fontId="20" type="noConversion"/>
  </si>
  <si>
    <t>地狱妖女</t>
    <phoneticPr fontId="20" type="noConversion"/>
  </si>
  <si>
    <t>血魔抛毒者</t>
  </si>
  <si>
    <t>食物掘洞者</t>
  </si>
  <si>
    <t>驱魔者</t>
  </si>
  <si>
    <t>死亡鬼影</t>
  </si>
  <si>
    <t>惩罚者</t>
    <phoneticPr fontId="20" type="noConversion"/>
  </si>
  <si>
    <t>复仇者护腕</t>
    <phoneticPr fontId="20" type="noConversion"/>
  </si>
  <si>
    <t>死敵護腕</t>
    <phoneticPr fontId="20" type="noConversion"/>
  </si>
  <si>
    <t>☆数据暂缺☆</t>
    <phoneticPr fontId="20" type="noConversion"/>
  </si>
  <si>
    <t>注释</t>
    <phoneticPr fontId="20" type="noConversion"/>
  </si>
  <si>
    <t>前三章事件成就汇总</t>
    <phoneticPr fontId="7" type="noConversion"/>
  </si>
  <si>
    <t>第一章</t>
  </si>
  <si>
    <t>名称</t>
  </si>
  <si>
    <t>备注</t>
  </si>
  <si>
    <t>飛蝠農場</t>
  </si>
  <si>
    <t>領主夫人的遺骨</t>
  </si>
  <si>
    <t>魂甕</t>
  </si>
  <si>
    <t>永恆之戰</t>
  </si>
  <si>
    <t>賈巴德的復仇</t>
  </si>
  <si>
    <t>第二章</t>
  </si>
  <si>
    <t>動盪的沙塵</t>
  </si>
  <si>
    <t>守護者之魂</t>
  </si>
  <si>
    <t>拉卡尼休聖壇</t>
  </si>
  <si>
    <t>礦工的金幣</t>
  </si>
  <si>
    <t>里格納爾塑像</t>
  </si>
  <si>
    <t>崩塌的寶庫</t>
  </si>
  <si>
    <t>卡米爾的囚犯</t>
  </si>
  <si>
    <t>悲運之輪</t>
  </si>
  <si>
    <t>達卡布可汗失落的寶藏</t>
  </si>
  <si>
    <t>第三章</t>
  </si>
  <si>
    <t>血之羈絆</t>
  </si>
  <si>
    <t>戰場之煉</t>
  </si>
  <si>
    <t>耐心等待增援</t>
  </si>
  <si>
    <t>防守醫療站</t>
  </si>
  <si>
    <t>戰爭浪潮</t>
  </si>
  <si>
    <t>烈火榮耀</t>
  </si>
  <si>
    <t>瘋狂攀爬者</t>
  </si>
  <si>
    <t>[非固定出现]地图靠左边墙靠着墙的人</t>
  </si>
  <si>
    <t>事件</t>
    <phoneticPr fontId="7" type="noConversion"/>
  </si>
  <si>
    <t>随机</t>
    <phoneticPr fontId="7" type="noConversion"/>
  </si>
  <si>
    <t>A1</t>
    <phoneticPr fontId="7" type="noConversion"/>
  </si>
  <si>
    <t>先祖英雄之背水一战</t>
    <phoneticPr fontId="49" type="noConversion"/>
  </si>
  <si>
    <t>领主夫人的尸骨</t>
    <phoneticPr fontId="49" type="noConversion"/>
  </si>
  <si>
    <t>众魂罐</t>
    <phoneticPr fontId="49" type="noConversion"/>
  </si>
  <si>
    <t>永恒之战</t>
    <phoneticPr fontId="49" type="noConversion"/>
  </si>
  <si>
    <t>贾巴德的复仇</t>
    <phoneticPr fontId="49" type="noConversion"/>
  </si>
  <si>
    <t>A2</t>
    <phoneticPr fontId="7" type="noConversion"/>
  </si>
  <si>
    <t>☆数据暂缺☆</t>
    <phoneticPr fontId="7" type="noConversion"/>
  </si>
  <si>
    <t>事件</t>
    <phoneticPr fontId="7" type="noConversion"/>
  </si>
  <si>
    <t>随机</t>
    <phoneticPr fontId="7" type="noConversion"/>
  </si>
  <si>
    <t>A2</t>
    <phoneticPr fontId="7" type="noConversion"/>
  </si>
  <si>
    <t>灾难之轮</t>
    <phoneticPr fontId="7" type="noConversion"/>
  </si>
  <si>
    <t>失落的坎·达卡布财宝</t>
    <phoneticPr fontId="49" type="noConversion"/>
  </si>
  <si>
    <t>血脉相连</t>
    <phoneticPr fontId="49" type="noConversion"/>
  </si>
  <si>
    <t>A3</t>
    <phoneticPr fontId="7" type="noConversion"/>
  </si>
  <si>
    <t>战火铸就</t>
    <phoneticPr fontId="49" type="noConversion"/>
  </si>
  <si>
    <t>等待支援</t>
    <phoneticPr fontId="49" type="noConversion"/>
  </si>
  <si>
    <t>防守医疗站</t>
    <phoneticPr fontId="49" type="noConversion"/>
  </si>
  <si>
    <t>力挽狂澜</t>
    <phoneticPr fontId="49" type="noConversion"/>
  </si>
  <si>
    <t>荣耀之焰</t>
    <phoneticPr fontId="49" type="noConversion"/>
  </si>
  <si>
    <t>疯狂的攀爬者</t>
    <phoneticPr fontId="49" type="noConversion"/>
  </si>
  <si>
    <t>悲慘之原-荒廢農地</t>
    <phoneticPr fontId="7" type="noConversion"/>
  </si>
  <si>
    <t>地图</t>
    <phoneticPr fontId="7" type="noConversion"/>
  </si>
  <si>
    <t>小地图</t>
    <phoneticPr fontId="7" type="noConversion"/>
  </si>
  <si>
    <t>A1</t>
    <phoneticPr fontId="7" type="noConversion"/>
  </si>
  <si>
    <t>嚎泣高原-廢棄的礦道</t>
    <phoneticPr fontId="7" type="noConversion"/>
  </si>
  <si>
    <t>凄风苔原-废弃的矿场</t>
    <phoneticPr fontId="7" type="noConversion"/>
  </si>
  <si>
    <t>事件地下城</t>
    <phoneticPr fontId="7" type="noConversion"/>
  </si>
  <si>
    <t>☆数据暂缺☆</t>
    <phoneticPr fontId="7" type="noConversion"/>
  </si>
  <si>
    <t>地图</t>
    <phoneticPr fontId="7" type="noConversion"/>
  </si>
  <si>
    <t>事件地下城</t>
    <phoneticPr fontId="7" type="noConversion"/>
  </si>
  <si>
    <t>A2</t>
    <phoneticPr fontId="7" type="noConversion"/>
  </si>
  <si>
    <t>刺風沙漠-崩塌的寶庫</t>
    <phoneticPr fontId="7" type="noConversion"/>
  </si>
  <si>
    <t>烈风之地-崩裂密室</t>
    <phoneticPr fontId="7" type="noConversion"/>
  </si>
  <si>
    <t>亚瑞特大门-营房二层</t>
    <phoneticPr fontId="7" type="noConversion"/>
  </si>
  <si>
    <t>地下城</t>
  </si>
  <si>
    <t>A3</t>
    <phoneticPr fontId="7" type="noConversion"/>
  </si>
  <si>
    <t>亞瑞特之門-兵營第二層</t>
    <phoneticPr fontId="7" type="noConversion"/>
  </si>
  <si>
    <t>達厄古綠洲-達卡布可汗的陵墓</t>
    <phoneticPr fontId="20" type="noConversion"/>
  </si>
  <si>
    <t>達厄古綠洲</t>
    <phoneticPr fontId="20" type="noConversion"/>
  </si>
  <si>
    <t xml:space="preserve">達厄古綠洲 </t>
    <phoneticPr fontId="20" type="noConversion"/>
  </si>
  <si>
    <t>白骨剑士</t>
    <phoneticPr fontId="20" type="noConversion"/>
  </si>
  <si>
    <t>地点（☆表示有专门的悬赏任务）</t>
    <phoneticPr fontId="46" type="noConversion"/>
  </si>
  <si>
    <t>地下城（☆表示有专门的悬赏任务）</t>
    <phoneticPr fontId="7" type="noConversion"/>
  </si>
  <si>
    <t>大地图</t>
  </si>
  <si>
    <t>大地图</t>
    <phoneticPr fontId="7" type="noConversion"/>
  </si>
  <si>
    <t>国服悬赏任务名为“消灭恐爪飞鬼”</t>
    <phoneticPr fontId="7" type="noConversion"/>
  </si>
  <si>
    <t>白骨战士</t>
    <phoneticPr fontId="20" type="noConversion"/>
  </si>
  <si>
    <t>蛮牛怪</t>
    <phoneticPr fontId="20" type="noConversion"/>
  </si>
  <si>
    <t>長角蠻牛獸</t>
    <phoneticPr fontId="20" type="noConversion"/>
  </si>
  <si>
    <t>魔嬰</t>
    <phoneticPr fontId="20" type="noConversion"/>
  </si>
  <si>
    <t>骷髏圓盾兵</t>
    <phoneticPr fontId="20" type="noConversion"/>
  </si>
  <si>
    <t>骷髏</t>
    <phoneticPr fontId="20" type="noConversion"/>
  </si>
  <si>
    <t>骷髏歩哨</t>
    <phoneticPr fontId="20" type="noConversion"/>
  </si>
  <si>
    <t>骷髏戰士</t>
    <phoneticPr fontId="20" type="noConversion"/>
  </si>
  <si>
    <t>骷髏掠劫者</t>
    <phoneticPr fontId="20" type="noConversion"/>
  </si>
  <si>
    <t>骷髏劈脊者</t>
    <phoneticPr fontId="20" type="noConversion"/>
  </si>
  <si>
    <t>骷髏掠奪者</t>
    <phoneticPr fontId="20" type="noConversion"/>
  </si>
  <si>
    <t>黑暗骷髏弓手</t>
    <phoneticPr fontId="20" type="noConversion"/>
  </si>
  <si>
    <t>骷髏弓箭手</t>
    <phoneticPr fontId="20" type="noConversion"/>
  </si>
  <si>
    <t>沉淪魔苦力</t>
  </si>
  <si>
    <t>沉淪魔士兵</t>
  </si>
  <si>
    <t>沉淪魔先知</t>
  </si>
  <si>
    <t>沉淪魔蠻兵</t>
  </si>
  <si>
    <t>沉淪魔地獄犬</t>
  </si>
  <si>
    <t>沉淪魔霸主</t>
  </si>
  <si>
    <t>沉淪魔雜犬</t>
  </si>
  <si>
    <t>悲泣荒原-沉淪魔窩巢</t>
  </si>
  <si>
    <t>沙漠猛禽</t>
    <phoneticPr fontId="20" type="noConversion"/>
  </si>
  <si>
    <t>骷髏遊俠</t>
    <phoneticPr fontId="20" type="noConversion"/>
  </si>
  <si>
    <t>裝甲破壞魔</t>
  </si>
  <si>
    <t>Imperium</t>
    <phoneticPr fontId="12" type="noConversion"/>
  </si>
  <si>
    <t>　　由于英文数据缺失较多，本表格暂时仅提供繁体中文及简体中文切换。注释部分仅提供单语种。</t>
    <phoneticPr fontId="12" type="noConversion"/>
  </si>
  <si>
    <t>　　如果不熟悉Excel操作，请勿随意修改表格内的公式。</t>
    <phoneticPr fontId="12" type="noConversion"/>
  </si>
  <si>
    <t>被奴役的夢魘</t>
    <phoneticPr fontId="20" type="noConversion"/>
  </si>
  <si>
    <t>沉淪喚魔師</t>
    <phoneticPr fontId="20" type="noConversion"/>
  </si>
  <si>
    <t>沉淪魔薩滿</t>
  </si>
  <si>
    <t>堕落萨满</t>
    <phoneticPr fontId="7" type="noConversion"/>
  </si>
  <si>
    <t>怪物</t>
    <phoneticPr fontId="7" type="noConversion"/>
  </si>
  <si>
    <t>精英怪</t>
    <phoneticPr fontId="7" type="noConversion"/>
  </si>
  <si>
    <t>兇暴蠻牛獸</t>
    <phoneticPr fontId="20" type="noConversion"/>
  </si>
  <si>
    <t>兇殘魔</t>
    <phoneticPr fontId="20" type="noConversion"/>
  </si>
  <si>
    <t>沉淪魔兇犬</t>
    <phoneticPr fontId="20" type="noConversion"/>
  </si>
  <si>
    <t>兇狠的食屍鬼</t>
    <phoneticPr fontId="20" type="noConversion"/>
  </si>
  <si>
    <t>兇殘妖蝠</t>
    <phoneticPr fontId="20" type="noConversion"/>
  </si>
  <si>
    <t>兇魔撕裂者</t>
    <phoneticPr fontId="20" type="noConversion"/>
  </si>
  <si>
    <t>沼泽诱捕兽</t>
    <phoneticPr fontId="20" type="noConversion"/>
  </si>
  <si>
    <t>矿工的黄金</t>
    <phoneticPr fontId="49" type="noConversion"/>
  </si>
  <si>
    <t>躁怒沙漠</t>
    <phoneticPr fontId="49" type="noConversion"/>
  </si>
  <si>
    <t>唤魔师杰泽布</t>
    <phoneticPr fontId="20" type="noConversion"/>
  </si>
  <si>
    <t>喚魔師吉列伯</t>
    <phoneticPr fontId="20" type="noConversion"/>
  </si>
  <si>
    <t>沙漠猛禽</t>
    <phoneticPr fontId="20" type="noConversion"/>
  </si>
  <si>
    <t>可耻的姬辛德拉</t>
    <phoneticPr fontId="20" type="noConversion"/>
  </si>
  <si>
    <t>拉卡尼休的圣坛</t>
    <phoneticPr fontId="49" type="noConversion"/>
  </si>
  <si>
    <t>拉庫尼的巢穴</t>
    <phoneticPr fontId="20" type="noConversion"/>
  </si>
  <si>
    <t>豹人巢穴</t>
    <phoneticPr fontId="49" type="noConversion"/>
  </si>
  <si>
    <t>守护者之魂</t>
    <phoneticPr fontId="20" type="noConversion"/>
  </si>
  <si>
    <t>雷格纳人偶</t>
    <phoneticPr fontId="49" type="noConversion"/>
  </si>
  <si>
    <t>崩裂密室</t>
    <phoneticPr fontId="49" type="noConversion"/>
  </si>
  <si>
    <t>卡麦尔的囚犯</t>
    <phoneticPr fontId="20" type="noConversion"/>
  </si>
  <si>
    <r>
      <t>Y</t>
    </r>
    <r>
      <rPr>
        <sz val="12"/>
        <rFont val="宋体"/>
        <family val="3"/>
        <charset val="134"/>
      </rPr>
      <t>nnson#5109</t>
    </r>
    <phoneticPr fontId="12" type="noConversion"/>
  </si>
  <si>
    <t>国服</t>
    <phoneticPr fontId="12" type="noConversion"/>
  </si>
  <si>
    <t>哭泣山谷-堕落者的洞穴</t>
    <phoneticPr fontId="20" type="noConversion"/>
  </si>
  <si>
    <t>荒废的墓地-污秽的墓穴</t>
    <phoneticPr fontId="20" type="noConversion"/>
  </si>
  <si>
    <t>掘墓者的骸骨</t>
    <phoneticPr fontId="20" type="noConversion"/>
  </si>
  <si>
    <t>盗墓者的尸体</t>
    <phoneticPr fontId="20" type="noConversion"/>
  </si>
  <si>
    <t>苦难旷野-腐烂墓穴一层</t>
    <phoneticPr fontId="20" type="noConversion"/>
  </si>
  <si>
    <t>清理食腐鸟</t>
    <phoneticPr fontId="49" type="noConversion"/>
  </si>
  <si>
    <t>苦难旷野-僻静林地</t>
    <phoneticPr fontId="20" type="noConversion"/>
  </si>
  <si>
    <t>苦难旷野-荒废农地</t>
    <phoneticPr fontId="7" type="noConversion"/>
  </si>
  <si>
    <t xml:space="preserve">苦难旷野-失落矿洞 </t>
    <phoneticPr fontId="20" type="noConversion"/>
  </si>
  <si>
    <t>斯维克德的尸体</t>
    <phoneticPr fontId="20" type="noConversion"/>
  </si>
  <si>
    <t xml:space="preserve">  接任务</t>
  </si>
  <si>
    <t>1-2-2</t>
  </si>
  <si>
    <t>1-3-1</t>
  </si>
  <si>
    <t>1-3-2</t>
  </si>
  <si>
    <t>1-4-1</t>
  </si>
  <si>
    <t>1-5-2</t>
  </si>
  <si>
    <t>1-6-2</t>
  </si>
  <si>
    <t xml:space="preserve">  进入先祖墓穴</t>
  </si>
  <si>
    <t>1-7-1</t>
  </si>
  <si>
    <t>1-8-1</t>
  </si>
  <si>
    <t>1-9-2</t>
  </si>
  <si>
    <t>1-10-1</t>
  </si>
  <si>
    <t>2-1-1</t>
  </si>
  <si>
    <t>2-4-1</t>
  </si>
  <si>
    <t>2-8-1</t>
  </si>
  <si>
    <t>2-8-2</t>
  </si>
  <si>
    <t>3-1-2</t>
  </si>
  <si>
    <t>3-2-1</t>
  </si>
  <si>
    <t>3-3-1</t>
  </si>
  <si>
    <t>3-4-1</t>
  </si>
  <si>
    <t>3-7-1</t>
  </si>
  <si>
    <t>4-1-1</t>
  </si>
  <si>
    <t xml:space="preserve">  回城</t>
  </si>
  <si>
    <t>4-2-1</t>
  </si>
  <si>
    <t>4-3-1</t>
  </si>
  <si>
    <t>4-4-2</t>
  </si>
  <si>
    <t>5-2-4</t>
  </si>
  <si>
    <t>5-3-2</t>
  </si>
  <si>
    <t>5-4-2</t>
  </si>
  <si>
    <t>5-5-1</t>
  </si>
  <si>
    <t>5-6-1</t>
  </si>
  <si>
    <t>5-7-1</t>
  </si>
  <si>
    <t xml:space="preserve">  进入攻城哨站</t>
  </si>
  <si>
    <t>5-8-1</t>
  </si>
  <si>
    <t>5-8-3</t>
  </si>
  <si>
    <t>身心交瘁的鐵匠</t>
  </si>
  <si>
    <t>新崔斯特瑞姆鎮</t>
  </si>
  <si>
    <t>海德格的祖父</t>
  </si>
  <si>
    <t>凱恩的下落</t>
  </si>
  <si>
    <t>海德格的父親</t>
  </si>
  <si>
    <t>重返卡爾蒂姆</t>
  </si>
  <si>
    <t>城市的變化</t>
  </si>
  <si>
    <t>與米菈相識</t>
  </si>
  <si>
    <t>關於米菈</t>
  </si>
  <si>
    <t>維欽人</t>
  </si>
  <si>
    <t>脫離彼列魔爪後的卡爾蒂姆</t>
  </si>
  <si>
    <t>未來</t>
  </si>
  <si>
    <t>升起投石器</t>
  </si>
  <si>
    <t>最終目標</t>
  </si>
  <si>
    <t>扭轉戰局</t>
  </si>
  <si>
    <t>緊張</t>
  </si>
  <si>
    <t>戍衛要塞</t>
  </si>
  <si>
    <t>海德格的哀傷</t>
  </si>
  <si>
    <t>道歉</t>
  </si>
  <si>
    <t>对话</t>
    <phoneticPr fontId="20" type="noConversion"/>
  </si>
  <si>
    <t>看法</t>
  </si>
  <si>
    <t>新的伙伴</t>
  </si>
  <si>
    <t>風波驟起</t>
  </si>
  <si>
    <t>布萊森</t>
  </si>
  <si>
    <t>體悟</t>
  </si>
  <si>
    <t>重新鍛鑄</t>
  </si>
  <si>
    <r>
      <t>A</t>
    </r>
    <r>
      <rPr>
        <sz val="10"/>
        <rFont val="宋体"/>
        <family val="3"/>
        <charset val="134"/>
      </rPr>
      <t>5</t>
    </r>
    <phoneticPr fontId="20" type="noConversion"/>
  </si>
  <si>
    <r>
      <t>A</t>
    </r>
    <r>
      <rPr>
        <sz val="10"/>
        <rFont val="宋体"/>
        <family val="3"/>
        <charset val="134"/>
      </rPr>
      <t>1</t>
    </r>
    <phoneticPr fontId="20" type="noConversion"/>
  </si>
  <si>
    <r>
      <t>A</t>
    </r>
    <r>
      <rPr>
        <sz val="10"/>
        <rFont val="宋体"/>
        <family val="3"/>
        <charset val="134"/>
      </rPr>
      <t>2</t>
    </r>
    <phoneticPr fontId="20" type="noConversion"/>
  </si>
  <si>
    <r>
      <t>A</t>
    </r>
    <r>
      <rPr>
        <sz val="10"/>
        <rFont val="宋体"/>
        <family val="3"/>
        <charset val="134"/>
      </rPr>
      <t>3</t>
    </r>
    <phoneticPr fontId="20" type="noConversion"/>
  </si>
  <si>
    <t>A3</t>
    <phoneticPr fontId="20" type="noConversion"/>
  </si>
  <si>
    <r>
      <t>A</t>
    </r>
    <r>
      <rPr>
        <sz val="10"/>
        <rFont val="宋体"/>
        <family val="3"/>
        <charset val="134"/>
      </rPr>
      <t>4</t>
    </r>
    <phoneticPr fontId="20" type="noConversion"/>
  </si>
  <si>
    <t>铁匠</t>
    <phoneticPr fontId="20" type="noConversion"/>
  </si>
  <si>
    <t>珠宝匠</t>
    <phoneticPr fontId="20" type="noConversion"/>
  </si>
  <si>
    <t>無法安息的亡者</t>
  </si>
  <si>
    <t>談談你自己</t>
  </si>
  <si>
    <t>迪卡·凱恩</t>
  </si>
  <si>
    <t>珠寶</t>
  </si>
  <si>
    <t>隕落之星</t>
  </si>
  <si>
    <t>世界</t>
  </si>
  <si>
    <t>黑暗的景象</t>
  </si>
  <si>
    <t>哀悼</t>
  </si>
  <si>
    <t>陌生人</t>
  </si>
  <si>
    <t>前方的旅程</t>
  </si>
  <si>
    <t>稀世珠寶</t>
  </si>
  <si>
    <t>酷熱的沙漠</t>
  </si>
  <si>
    <t>卡爾蒂姆</t>
  </si>
  <si>
    <t>神秘的傳聞</t>
  </si>
  <si>
    <t>真假傳說</t>
  </si>
  <si>
    <t>珠寶的代價</t>
  </si>
  <si>
    <t>黑靈魂石</t>
  </si>
  <si>
    <t>寒冷的北方</t>
  </si>
  <si>
    <t>寶石的來歷</t>
  </si>
  <si>
    <t>上戰場</t>
  </si>
  <si>
    <t>結束之後</t>
  </si>
  <si>
    <t>困難的問題</t>
  </si>
  <si>
    <t>晦暗的日子</t>
  </si>
  <si>
    <t>希望</t>
  </si>
  <si>
    <t>一波又起</t>
  </si>
  <si>
    <t>莉亞的靈魂</t>
  </si>
  <si>
    <t>神或人</t>
  </si>
  <si>
    <t>毀滅與腐敗</t>
  </si>
  <si>
    <t>恐懼之王</t>
  </si>
  <si>
    <t>勝利</t>
  </si>
  <si>
    <t>妙手賊神的傳說（誤認身份）</t>
  </si>
  <si>
    <t>莉瑞雅</t>
  </si>
  <si>
    <t>慾望之神</t>
  </si>
  <si>
    <t>賊神的計畫</t>
  </si>
  <si>
    <t>完美的一夜</t>
  </si>
  <si>
    <t>賊神的喜樂</t>
  </si>
  <si>
    <t>賊神的傷痛</t>
  </si>
  <si>
    <t>德傑斯特的寶石</t>
  </si>
  <si>
    <t>尋找德傑斯特</t>
  </si>
  <si>
    <t>你是誰</t>
  </si>
  <si>
    <t>末日預言</t>
  </si>
  <si>
    <t>你的養女</t>
  </si>
  <si>
    <t>狂君李奧瑞克</t>
  </si>
  <si>
    <t>赫拉迪姆</t>
  </si>
  <si>
    <t>大天使泰瑞爾</t>
  </si>
  <si>
    <t>真神教的起源</t>
  </si>
  <si>
    <t>莉亞與凱恩的旅行</t>
  </si>
  <si>
    <t>世界之石</t>
  </si>
  <si>
    <t>世界之石的毀壞</t>
  </si>
  <si>
    <t>凯恩</t>
    <phoneticPr fontId="20" type="noConversion"/>
  </si>
  <si>
    <t>A1</t>
    <phoneticPr fontId="20" type="noConversion"/>
  </si>
  <si>
    <t>與凱恩共度的日子</t>
  </si>
  <si>
    <t>崔斯特姆</t>
  </si>
  <si>
    <t>愛德莉雅</t>
  </si>
  <si>
    <t>莉亞的童年</t>
  </si>
  <si>
    <t>愛德莉雅之死</t>
  </si>
  <si>
    <t>關於沉沒神殿</t>
  </si>
  <si>
    <t>莉亞的力量</t>
  </si>
  <si>
    <t>關於愛德莉雅</t>
  </si>
  <si>
    <t>緬懷凱恩</t>
  </si>
  <si>
    <t>關於佐頓庫勒</t>
  </si>
  <si>
    <t>秘庫</t>
  </si>
  <si>
    <t>擔憂</t>
  </si>
  <si>
    <t>夢想</t>
  </si>
  <si>
    <t>莉亚</t>
    <phoneticPr fontId="20" type="noConversion"/>
  </si>
  <si>
    <t>爱德莉雅</t>
    <phoneticPr fontId="20" type="noConversion"/>
  </si>
  <si>
    <t>勝利的代價</t>
  </si>
  <si>
    <t>瘋狂的巫師</t>
  </si>
  <si>
    <t>泰瑞爾的警告</t>
  </si>
  <si>
    <t>愛德莉雅與凱恩</t>
  </si>
  <si>
    <t>使命</t>
  </si>
  <si>
    <t>愛德莉雅受擒</t>
  </si>
  <si>
    <t>彼列與靈魂石</t>
  </si>
  <si>
    <t>愛德莉雅的任務</t>
  </si>
  <si>
    <t>封印彼列</t>
  </si>
  <si>
    <t>魔法</t>
  </si>
  <si>
    <t>你的女兒</t>
  </si>
  <si>
    <t>阿茲莫丹</t>
  </si>
  <si>
    <t>受難（受苦）</t>
  </si>
  <si>
    <t>戰爭結束後</t>
  </si>
  <si>
    <t>泰瑞尔</t>
    <phoneticPr fontId="20" type="noConversion"/>
  </si>
  <si>
    <r>
      <t>A</t>
    </r>
    <r>
      <rPr>
        <sz val="10"/>
        <rFont val="宋体"/>
        <family val="3"/>
        <charset val="134"/>
      </rPr>
      <t>1</t>
    </r>
    <phoneticPr fontId="20" type="noConversion"/>
  </si>
  <si>
    <t>失去的記憶</t>
  </si>
  <si>
    <t>破碎之劍</t>
  </si>
  <si>
    <t>神秘的教團</t>
  </si>
  <si>
    <t>地獄之王</t>
  </si>
  <si>
    <t>謊言之王</t>
  </si>
  <si>
    <t>亞瑞特山的毀滅</t>
  </si>
  <si>
    <t>腐化</t>
  </si>
  <si>
    <t>佐敦庫勒之死</t>
  </si>
  <si>
    <t>庫勒的黑靈魂石</t>
  </si>
  <si>
    <t>有瑕疵的靈魂石</t>
  </si>
  <si>
    <t>人類的知識</t>
  </si>
  <si>
    <t>逝去的機會</t>
  </si>
  <si>
    <t>改變</t>
  </si>
  <si>
    <t>熱血沸騰</t>
  </si>
  <si>
    <t>運籌帷幄</t>
  </si>
  <si>
    <t>鑽石之門戰役</t>
  </si>
  <si>
    <t>創世起源</t>
  </si>
  <si>
    <t>天堂的隕落</t>
  </si>
  <si>
    <t>愛德莉雅的背叛</t>
  </si>
  <si>
    <t>黑暗流浪者</t>
  </si>
  <si>
    <t>至高天</t>
  </si>
  <si>
    <t>瑪瑟爾</t>
  </si>
  <si>
    <t>瑪瑟爾的際遇</t>
  </si>
  <si>
    <t>萬惡之源</t>
  </si>
  <si>
    <t>天使</t>
  </si>
  <si>
    <t>瑪瑟爾的奪魂者</t>
  </si>
  <si>
    <t>混沌界</t>
  </si>
  <si>
    <t>瑪瑟爾的失蹤</t>
  </si>
  <si>
    <t>要塞</t>
  </si>
  <si>
    <t>混沌界要塞</t>
  </si>
  <si>
    <t>A5</t>
    <phoneticPr fontId="20" type="noConversion"/>
  </si>
  <si>
    <t>罗拉斯</t>
    <phoneticPr fontId="20" type="noConversion"/>
  </si>
  <si>
    <t>加斯提安國王之死</t>
    <phoneticPr fontId="20" type="noConversion"/>
  </si>
  <si>
    <t>奮戰到底</t>
    <phoneticPr fontId="20" type="noConversion"/>
  </si>
  <si>
    <t>救兵</t>
    <phoneticPr fontId="20" type="noConversion"/>
  </si>
  <si>
    <t>邪惡的魔物</t>
  </si>
  <si>
    <t>巫女</t>
  </si>
  <si>
    <t>憂心忡忡</t>
  </si>
  <si>
    <t>真神教</t>
  </si>
  <si>
    <t>珠寶匠</t>
  </si>
  <si>
    <t>佐敦庫勒的背叛</t>
  </si>
  <si>
    <t>改變未來</t>
  </si>
  <si>
    <t>擊敗彼列</t>
  </si>
  <si>
    <t>預言</t>
  </si>
  <si>
    <t>可憎的惡魔</t>
  </si>
  <si>
    <t>黑暗的濁氣</t>
  </si>
  <si>
    <t>米瑞姆早知道的事</t>
  </si>
  <si>
    <t>命運卷軸</t>
  </si>
  <si>
    <t>凡人與天使</t>
  </si>
  <si>
    <t>更多米瑞姆的事</t>
  </si>
  <si>
    <t>厄傑爾的所在</t>
  </si>
  <si>
    <t>尋找愛德莉雅</t>
  </si>
  <si>
    <t>米瑞姆的驚喜</t>
  </si>
  <si>
    <t>英普瑞斯</t>
  </si>
  <si>
    <t>对话</t>
    <phoneticPr fontId="20" type="noConversion"/>
  </si>
  <si>
    <t>附魔师</t>
    <phoneticPr fontId="20" type="noConversion"/>
  </si>
  <si>
    <t>凱恩之死</t>
    <phoneticPr fontId="20" type="noConversion"/>
  </si>
  <si>
    <t>鐵匠</t>
    <phoneticPr fontId="20" type="noConversion"/>
  </si>
  <si>
    <t>家庭</t>
    <phoneticPr fontId="20" type="noConversion"/>
  </si>
  <si>
    <t>佐敦庫勒</t>
    <phoneticPr fontId="20" type="noConversion"/>
  </si>
  <si>
    <t>彼列</t>
    <phoneticPr fontId="20" type="noConversion"/>
  </si>
  <si>
    <t>人生的樂趣</t>
    <phoneticPr fontId="20" type="noConversion"/>
  </si>
  <si>
    <t>受困的大天使</t>
    <phoneticPr fontId="20" type="noConversion"/>
  </si>
  <si>
    <t>故事</t>
    <phoneticPr fontId="20" type="noConversion"/>
  </si>
  <si>
    <t>混沌界</t>
    <phoneticPr fontId="20" type="noConversion"/>
  </si>
  <si>
    <t>胜利的代价</t>
    <phoneticPr fontId="20" type="noConversion"/>
  </si>
  <si>
    <t>彼列与灵魂石</t>
    <phoneticPr fontId="20" type="noConversion"/>
  </si>
  <si>
    <t>魔法</t>
    <phoneticPr fontId="20" type="noConversion"/>
  </si>
  <si>
    <t>你的女儿</t>
    <phoneticPr fontId="20" type="noConversion"/>
  </si>
  <si>
    <t>受苦</t>
    <phoneticPr fontId="20" type="noConversion"/>
  </si>
  <si>
    <t>世界的本质</t>
    <phoneticPr fontId="20" type="noConversion"/>
  </si>
  <si>
    <t>艱辛的道路</t>
    <phoneticPr fontId="20" type="noConversion"/>
  </si>
  <si>
    <t>骷髏王</t>
    <phoneticPr fontId="20" type="noConversion"/>
  </si>
  <si>
    <t>艰辛之路</t>
    <phoneticPr fontId="20" type="noConversion"/>
  </si>
  <si>
    <t>骷髅王</t>
    <phoneticPr fontId="20" type="noConversion"/>
  </si>
  <si>
    <t>沉没的神庙</t>
    <phoneticPr fontId="20" type="noConversion"/>
  </si>
  <si>
    <t>黑暗预示</t>
    <phoneticPr fontId="20" type="noConversion"/>
  </si>
  <si>
    <t>凯恩之死</t>
    <phoneticPr fontId="20" type="noConversion"/>
  </si>
  <si>
    <t>邪恶的魔物</t>
    <phoneticPr fontId="20" type="noConversion"/>
  </si>
  <si>
    <t>魔女</t>
    <phoneticPr fontId="20" type="noConversion"/>
  </si>
  <si>
    <t>铁匠</t>
    <phoneticPr fontId="20" type="noConversion"/>
  </si>
  <si>
    <t>世界的重担</t>
    <phoneticPr fontId="20" type="noConversion"/>
  </si>
  <si>
    <t>巫师会</t>
    <phoneticPr fontId="20" type="noConversion"/>
  </si>
  <si>
    <t>封鎖城市</t>
    <phoneticPr fontId="20" type="noConversion"/>
  </si>
  <si>
    <t>追隨者</t>
    <phoneticPr fontId="20" type="noConversion"/>
  </si>
  <si>
    <t>愛德莉雅的目的</t>
    <phoneticPr fontId="20" type="noConversion"/>
  </si>
  <si>
    <t>米瑞姆的擔憂</t>
    <phoneticPr fontId="20" type="noConversion"/>
  </si>
  <si>
    <t>封闭之城</t>
    <phoneticPr fontId="20" type="noConversion"/>
  </si>
  <si>
    <t>追随者</t>
    <phoneticPr fontId="20" type="noConversion"/>
  </si>
  <si>
    <t>艾德莉亚的意图</t>
    <phoneticPr fontId="20" type="noConversion"/>
  </si>
  <si>
    <t>米丽安的担心</t>
    <phoneticPr fontId="20" type="noConversion"/>
  </si>
  <si>
    <t>佐敦·库勒</t>
    <phoneticPr fontId="20" type="noConversion"/>
  </si>
  <si>
    <t>佐敦·库勒的背叛</t>
    <phoneticPr fontId="20" type="noConversion"/>
  </si>
  <si>
    <t>改变未来</t>
    <phoneticPr fontId="20" type="noConversion"/>
  </si>
  <si>
    <t>彼列的失败</t>
    <phoneticPr fontId="20" type="noConversion"/>
  </si>
  <si>
    <t>彼列</t>
    <phoneticPr fontId="20" type="noConversion"/>
  </si>
  <si>
    <t>预示</t>
    <phoneticPr fontId="20" type="noConversion"/>
  </si>
  <si>
    <t>守卫要塞</t>
    <phoneticPr fontId="20" type="noConversion"/>
  </si>
  <si>
    <t>恶心的恶魔</t>
    <phoneticPr fontId="20" type="noConversion"/>
  </si>
  <si>
    <t>邪恶的黑暗</t>
    <phoneticPr fontId="20" type="noConversion"/>
  </si>
  <si>
    <t>享受生活</t>
    <phoneticPr fontId="20" type="noConversion"/>
  </si>
  <si>
    <t>黑暗灵魂石</t>
    <phoneticPr fontId="20" type="noConversion"/>
  </si>
  <si>
    <t>米丽安早就知道的事</t>
    <phoneticPr fontId="20" type="noConversion"/>
  </si>
  <si>
    <t>被俘的大天使</t>
    <phoneticPr fontId="20" type="noConversion"/>
  </si>
  <si>
    <t>命运卷轴</t>
    <phoneticPr fontId="20" type="noConversion"/>
  </si>
  <si>
    <t>凡人与天使</t>
    <phoneticPr fontId="20" type="noConversion"/>
  </si>
  <si>
    <t>认识米丽安</t>
    <phoneticPr fontId="20" type="noConversion"/>
  </si>
  <si>
    <t>了解米丽安</t>
    <phoneticPr fontId="20" type="noConversion"/>
  </si>
  <si>
    <t>厄兹尔的下落</t>
    <phoneticPr fontId="20" type="noConversion"/>
  </si>
  <si>
    <t>寻找艾德莉亚</t>
    <phoneticPr fontId="20" type="noConversion"/>
  </si>
  <si>
    <t>米丽安的惊喜</t>
    <phoneticPr fontId="20" type="noConversion"/>
  </si>
  <si>
    <t>混沌界</t>
    <phoneticPr fontId="20" type="noConversion"/>
  </si>
  <si>
    <t>英普瑞斯</t>
    <phoneticPr fontId="20" type="noConversion"/>
  </si>
  <si>
    <t>你是谁？</t>
    <phoneticPr fontId="20" type="noConversion"/>
  </si>
  <si>
    <t>末日预言</t>
    <phoneticPr fontId="20" type="noConversion"/>
  </si>
  <si>
    <t>你的养女</t>
    <phoneticPr fontId="20" type="noConversion"/>
  </si>
  <si>
    <t>疯王李奥瑞克</t>
    <phoneticPr fontId="20" type="noConversion"/>
  </si>
  <si>
    <t>赫拉迪姆</t>
    <phoneticPr fontId="20" type="noConversion"/>
  </si>
  <si>
    <t>大天使泰瑞尔</t>
    <phoneticPr fontId="20" type="noConversion"/>
  </si>
  <si>
    <t>巫师会起源</t>
    <phoneticPr fontId="20" type="noConversion"/>
  </si>
  <si>
    <t>莉娅和凯恩的旅行</t>
    <phoneticPr fontId="20" type="noConversion"/>
  </si>
  <si>
    <t>世界之石</t>
    <phoneticPr fontId="20" type="noConversion"/>
  </si>
  <si>
    <t>世界之石的毁灭</t>
    <phoneticPr fontId="20" type="noConversion"/>
  </si>
  <si>
    <t>与凯恩共度的日子</t>
    <phoneticPr fontId="20" type="noConversion"/>
  </si>
  <si>
    <t>崔斯特姆</t>
    <phoneticPr fontId="20" type="noConversion"/>
  </si>
  <si>
    <t>艾德莉亚</t>
    <phoneticPr fontId="20" type="noConversion"/>
  </si>
  <si>
    <t>莉娅的童年</t>
    <phoneticPr fontId="20" type="noConversion"/>
  </si>
  <si>
    <t>艾德莉亚之死</t>
    <phoneticPr fontId="20" type="noConversion"/>
  </si>
  <si>
    <t>关于神庙</t>
    <phoneticPr fontId="20" type="noConversion"/>
  </si>
  <si>
    <t>莉娅的魔力</t>
    <phoneticPr fontId="20" type="noConversion"/>
  </si>
  <si>
    <t>关于艾德莉亚</t>
    <phoneticPr fontId="20" type="noConversion"/>
  </si>
  <si>
    <t>怀念迪卡德</t>
    <phoneticPr fontId="20" type="noConversion"/>
  </si>
  <si>
    <t>关于佐敦·库勒</t>
    <phoneticPr fontId="20" type="noConversion"/>
  </si>
  <si>
    <t>佐敦·库勒之馆</t>
    <phoneticPr fontId="20" type="noConversion"/>
  </si>
  <si>
    <t>关怀</t>
    <phoneticPr fontId="20" type="noConversion"/>
  </si>
  <si>
    <t>希望</t>
    <phoneticPr fontId="20" type="noConversion"/>
  </si>
  <si>
    <t>梦想</t>
    <phoneticPr fontId="20" type="noConversion"/>
  </si>
  <si>
    <t>擊敗迪亞布羅</t>
    <phoneticPr fontId="20" type="noConversion"/>
  </si>
  <si>
    <t>赫拉迪姆兄弟會</t>
    <phoneticPr fontId="20" type="noConversion"/>
  </si>
  <si>
    <t>羅拉斯的故事</t>
    <phoneticPr fontId="20" type="noConversion"/>
  </si>
  <si>
    <t>魔神弑者</t>
    <phoneticPr fontId="20" type="noConversion"/>
  </si>
  <si>
    <t>洛拉斯的故事</t>
    <phoneticPr fontId="20" type="noConversion"/>
  </si>
  <si>
    <t>重建衛斯馬屈</t>
    <phoneticPr fontId="20" type="noConversion"/>
  </si>
  <si>
    <t>迪卡.凱恩</t>
    <phoneticPr fontId="20" type="noConversion"/>
  </si>
  <si>
    <t>混沌界</t>
    <phoneticPr fontId="20" type="noConversion"/>
  </si>
  <si>
    <t>混沌界要塞</t>
    <phoneticPr fontId="20" type="noConversion"/>
  </si>
  <si>
    <t>新赫拉迪姆</t>
    <phoneticPr fontId="20" type="noConversion"/>
  </si>
  <si>
    <t>摧毀靈魂石</t>
    <phoneticPr fontId="20" type="noConversion"/>
  </si>
  <si>
    <t>重建威斯特玛</t>
    <phoneticPr fontId="20" type="noConversion"/>
  </si>
  <si>
    <t>新的赫拉迪姆</t>
    <phoneticPr fontId="20" type="noConversion"/>
  </si>
  <si>
    <t>摧毁灵魂石</t>
    <phoneticPr fontId="20" type="noConversion"/>
  </si>
  <si>
    <t>混沌要塞</t>
    <phoneticPr fontId="20" type="noConversion"/>
  </si>
  <si>
    <t>消失的记忆</t>
    <phoneticPr fontId="20" type="noConversion"/>
  </si>
  <si>
    <t>剑</t>
    <phoneticPr fontId="20" type="noConversion"/>
  </si>
  <si>
    <t>神秘的巫师会</t>
    <phoneticPr fontId="20" type="noConversion"/>
  </si>
  <si>
    <t>地狱魔王</t>
    <phoneticPr fontId="20" type="noConversion"/>
  </si>
  <si>
    <t>关于卡尔蒂姆</t>
    <phoneticPr fontId="20" type="noConversion"/>
  </si>
  <si>
    <t>谎言之王</t>
    <phoneticPr fontId="20" type="noConversion"/>
  </si>
  <si>
    <t>卡尔蒂姆难民</t>
    <phoneticPr fontId="20" type="noConversion"/>
  </si>
  <si>
    <t>关于坠落</t>
    <phoneticPr fontId="20" type="noConversion"/>
  </si>
  <si>
    <t>亚瑞特山的毁灭</t>
    <phoneticPr fontId="20" type="noConversion"/>
  </si>
  <si>
    <t>过去的二十年</t>
    <phoneticPr fontId="20" type="noConversion"/>
  </si>
  <si>
    <t>堕落</t>
    <phoneticPr fontId="20" type="noConversion"/>
  </si>
  <si>
    <t>佐敦·库勒之死</t>
    <phoneticPr fontId="20" type="noConversion"/>
  </si>
  <si>
    <t>库勒的黑灵魂石</t>
    <phoneticPr fontId="20" type="noConversion"/>
  </si>
  <si>
    <t>灵魂石的瑕疵</t>
    <phoneticPr fontId="20" type="noConversion"/>
  </si>
  <si>
    <t>人类知识</t>
    <phoneticPr fontId="20" type="noConversion"/>
  </si>
  <si>
    <t>错失良机</t>
    <phoneticPr fontId="20" type="noConversion"/>
  </si>
  <si>
    <t>内疚</t>
    <phoneticPr fontId="20" type="noConversion"/>
  </si>
  <si>
    <t>斗志</t>
    <phoneticPr fontId="20" type="noConversion"/>
  </si>
  <si>
    <t>指挥官泰瑞尔</t>
    <phoneticPr fontId="20" type="noConversion"/>
  </si>
  <si>
    <t>金刚大门之战</t>
    <phoneticPr fontId="20" type="noConversion"/>
  </si>
  <si>
    <t>永恒之战</t>
    <phoneticPr fontId="20" type="noConversion"/>
  </si>
  <si>
    <t>庇护之地的起源</t>
    <phoneticPr fontId="20" type="noConversion"/>
  </si>
  <si>
    <t>天堂沦陷</t>
    <phoneticPr fontId="20" type="noConversion"/>
  </si>
  <si>
    <t>艾德莉亚的背叛</t>
    <phoneticPr fontId="20" type="noConversion"/>
  </si>
  <si>
    <t>黑暗流浪者</t>
    <phoneticPr fontId="20" type="noConversion"/>
  </si>
  <si>
    <t>高阶天堂</t>
    <phoneticPr fontId="20" type="noConversion"/>
  </si>
  <si>
    <t>莉娅的灵魂</t>
    <phoneticPr fontId="20" type="noConversion"/>
  </si>
  <si>
    <t>马萨伊尔</t>
    <phoneticPr fontId="20" type="noConversion"/>
  </si>
  <si>
    <t>马萨伊尔的命运</t>
    <phoneticPr fontId="20" type="noConversion"/>
  </si>
  <si>
    <t>大魔神</t>
    <phoneticPr fontId="20" type="noConversion"/>
  </si>
  <si>
    <t>天使</t>
    <phoneticPr fontId="20" type="noConversion"/>
  </si>
  <si>
    <t>马萨伊尔的夺魂者</t>
    <phoneticPr fontId="20" type="noConversion"/>
  </si>
  <si>
    <t>马萨伊尔的仁慈</t>
    <phoneticPr fontId="20" type="noConversion"/>
  </si>
  <si>
    <t>手下留情</t>
    <phoneticPr fontId="20" type="noConversion"/>
  </si>
  <si>
    <t>泰瑞爾的心情</t>
    <phoneticPr fontId="20" type="noConversion"/>
  </si>
  <si>
    <t>靈魂石碎片</t>
    <phoneticPr fontId="20" type="noConversion"/>
  </si>
  <si>
    <t>泰瑞爾的痛楚</t>
    <phoneticPr fontId="20" type="noConversion"/>
  </si>
  <si>
    <t>碎片</t>
    <phoneticPr fontId="20" type="noConversion"/>
  </si>
  <si>
    <t>黑靈魂石</t>
    <phoneticPr fontId="20" type="noConversion"/>
  </si>
  <si>
    <t>厄傑爾</t>
    <phoneticPr fontId="20" type="noConversion"/>
  </si>
  <si>
    <t>泰瑞尔的心情</t>
    <phoneticPr fontId="20" type="noConversion"/>
  </si>
  <si>
    <t>泰瑞尔的痛苦</t>
    <phoneticPr fontId="20" type="noConversion"/>
  </si>
  <si>
    <t>灵魂石碎片</t>
    <phoneticPr fontId="20" type="noConversion"/>
  </si>
  <si>
    <t>碎片</t>
    <phoneticPr fontId="20" type="noConversion"/>
  </si>
  <si>
    <t>厄兹尔</t>
    <phoneticPr fontId="20" type="noConversion"/>
  </si>
  <si>
    <t>关于混沌界</t>
    <phoneticPr fontId="20" type="noConversion"/>
  </si>
  <si>
    <t>马萨伊尔的消失</t>
    <phoneticPr fontId="20" type="noConversion"/>
  </si>
  <si>
    <t>要塞</t>
    <phoneticPr fontId="20" type="noConversion"/>
  </si>
  <si>
    <t>疲惫的铁匠</t>
    <phoneticPr fontId="20" type="noConversion"/>
  </si>
  <si>
    <t>新崔斯特姆</t>
    <phoneticPr fontId="20" type="noConversion"/>
  </si>
  <si>
    <t>黒德里格的祖父</t>
    <phoneticPr fontId="20" type="noConversion"/>
  </si>
  <si>
    <t>凯恩的失踪</t>
    <phoneticPr fontId="20" type="noConversion"/>
  </si>
  <si>
    <t>米拉·埃蒙</t>
    <phoneticPr fontId="20" type="noConversion"/>
  </si>
  <si>
    <t>黒德里格的父亲</t>
    <phoneticPr fontId="20" type="noConversion"/>
  </si>
  <si>
    <t>黒德里格父亲的命运</t>
    <phoneticPr fontId="20" type="noConversion"/>
  </si>
  <si>
    <t>返回卡尔蒂姆</t>
    <phoneticPr fontId="20" type="noConversion"/>
  </si>
  <si>
    <t>旧城新颜</t>
    <phoneticPr fontId="20" type="noConversion"/>
  </si>
  <si>
    <t>罗曼史</t>
    <phoneticPr fontId="20" type="noConversion"/>
  </si>
  <si>
    <t>关于米拉</t>
    <phoneticPr fontId="20" type="noConversion"/>
  </si>
  <si>
    <t>维辛</t>
    <phoneticPr fontId="20" type="noConversion"/>
  </si>
  <si>
    <t>前往崔斯特姆</t>
    <phoneticPr fontId="20" type="noConversion"/>
  </si>
  <si>
    <t>彼列肆虐后的卡尔蒂姆</t>
    <phoneticPr fontId="20" type="noConversion"/>
  </si>
  <si>
    <t>未来</t>
    <phoneticPr fontId="20" type="noConversion"/>
  </si>
  <si>
    <t>架设投石器</t>
    <phoneticPr fontId="20" type="noConversion"/>
  </si>
  <si>
    <t>终极目标</t>
    <phoneticPr fontId="20" type="noConversion"/>
  </si>
  <si>
    <t>战局</t>
    <phoneticPr fontId="20" type="noConversion"/>
  </si>
  <si>
    <t>紧张</t>
    <phoneticPr fontId="20" type="noConversion"/>
  </si>
  <si>
    <t>巴斯廷要塞</t>
    <phoneticPr fontId="20" type="noConversion"/>
  </si>
  <si>
    <t>黒德里格的悲痛</t>
    <phoneticPr fontId="20" type="noConversion"/>
  </si>
  <si>
    <t>道歉</t>
    <phoneticPr fontId="20" type="noConversion"/>
  </si>
  <si>
    <t>新的伙伴</t>
    <phoneticPr fontId="20" type="noConversion"/>
  </si>
  <si>
    <t>烦恼突现</t>
    <phoneticPr fontId="20" type="noConversion"/>
  </si>
  <si>
    <t>布莱森</t>
    <phoneticPr fontId="20" type="noConversion"/>
  </si>
  <si>
    <t>感悟</t>
    <phoneticPr fontId="20" type="noConversion"/>
  </si>
  <si>
    <t>重铸人生</t>
    <phoneticPr fontId="20" type="noConversion"/>
  </si>
  <si>
    <t>思绪</t>
    <phoneticPr fontId="20" type="noConversion"/>
  </si>
  <si>
    <t>最后的坚守</t>
    <phoneticPr fontId="20" type="noConversion"/>
  </si>
  <si>
    <t>援军</t>
    <phoneticPr fontId="20" type="noConversion"/>
  </si>
  <si>
    <t>加斯迪安王之死</t>
    <phoneticPr fontId="20" type="noConversion"/>
  </si>
  <si>
    <t>将军</t>
    <phoneticPr fontId="20" type="noConversion"/>
  </si>
  <si>
    <t>无宁亡者</t>
    <phoneticPr fontId="20" type="noConversion"/>
  </si>
  <si>
    <t>谈谈你自己</t>
    <phoneticPr fontId="20" type="noConversion"/>
  </si>
  <si>
    <t>迪卡德·凯恩</t>
    <phoneticPr fontId="20" type="noConversion"/>
  </si>
  <si>
    <t>宝石</t>
    <phoneticPr fontId="20" type="noConversion"/>
  </si>
  <si>
    <t>李奥瑞克国王</t>
    <phoneticPr fontId="20" type="noConversion"/>
  </si>
  <si>
    <t>陨星</t>
    <phoneticPr fontId="20" type="noConversion"/>
  </si>
  <si>
    <t>世界</t>
    <phoneticPr fontId="20" type="noConversion"/>
  </si>
  <si>
    <t>黑暗视像</t>
    <phoneticPr fontId="20" type="noConversion"/>
  </si>
  <si>
    <t>哀伤</t>
    <phoneticPr fontId="20" type="noConversion"/>
  </si>
  <si>
    <t>奇异之人</t>
    <phoneticPr fontId="20" type="noConversion"/>
  </si>
  <si>
    <t>前方的旅程</t>
    <phoneticPr fontId="20" type="noConversion"/>
  </si>
  <si>
    <t>一件特别的珠宝</t>
    <phoneticPr fontId="20" type="noConversion"/>
  </si>
  <si>
    <t>酷热的沙漠</t>
    <phoneticPr fontId="20" type="noConversion"/>
  </si>
  <si>
    <t>卡尔蒂姆</t>
    <phoneticPr fontId="20" type="noConversion"/>
  </si>
  <si>
    <t>神秘的传说</t>
    <phoneticPr fontId="20" type="noConversion"/>
  </si>
  <si>
    <t>佐敦·库勒</t>
    <phoneticPr fontId="20" type="noConversion"/>
  </si>
  <si>
    <t>传说与神话</t>
    <phoneticPr fontId="20" type="noConversion"/>
  </si>
  <si>
    <t>珠宝的代价</t>
    <phoneticPr fontId="20" type="noConversion"/>
  </si>
  <si>
    <t>严寒的北方</t>
    <phoneticPr fontId="20" type="noConversion"/>
  </si>
  <si>
    <t>更多的回忆</t>
    <phoneticPr fontId="20" type="noConversion"/>
  </si>
  <si>
    <t>珠宝的本质</t>
    <phoneticPr fontId="20" type="noConversion"/>
  </si>
  <si>
    <t>战场</t>
    <phoneticPr fontId="20" type="noConversion"/>
  </si>
  <si>
    <t>结局</t>
    <phoneticPr fontId="20" type="noConversion"/>
  </si>
  <si>
    <t>难题</t>
    <phoneticPr fontId="20" type="noConversion"/>
  </si>
  <si>
    <t>黑暗的日子</t>
    <phoneticPr fontId="20" type="noConversion"/>
  </si>
  <si>
    <t>刨根问底</t>
    <phoneticPr fontId="20" type="noConversion"/>
  </si>
  <si>
    <t>神或人</t>
    <phoneticPr fontId="20" type="noConversion"/>
  </si>
  <si>
    <t>毁灭与腐败</t>
    <phoneticPr fontId="20" type="noConversion"/>
  </si>
  <si>
    <t>恐惧之王</t>
    <phoneticPr fontId="20" type="noConversion"/>
  </si>
  <si>
    <t>胜利</t>
    <phoneticPr fontId="20" type="noConversion"/>
  </si>
  <si>
    <t>丽瑞雅</t>
    <phoneticPr fontId="20" type="noConversion"/>
  </si>
  <si>
    <t>欲望之神</t>
    <phoneticPr fontId="20" type="noConversion"/>
  </si>
  <si>
    <t>贼神的计划</t>
    <phoneticPr fontId="20" type="noConversion"/>
  </si>
  <si>
    <t>完美的一夜</t>
    <phoneticPr fontId="20" type="noConversion"/>
  </si>
  <si>
    <t>贼神的喜悦</t>
    <phoneticPr fontId="20" type="noConversion"/>
  </si>
  <si>
    <t>贼神的伤痛</t>
    <phoneticPr fontId="20" type="noConversion"/>
  </si>
  <si>
    <t>狄杰斯特的珠宝</t>
    <phoneticPr fontId="20" type="noConversion"/>
  </si>
  <si>
    <t>寻找狄杰斯特</t>
    <phoneticPr fontId="20" type="noConversion"/>
  </si>
  <si>
    <t>贼老骗的传说（错误身份）</t>
    <phoneticPr fontId="20" type="noConversion"/>
  </si>
  <si>
    <t>Act1</t>
    <phoneticPr fontId="7" type="noConversion"/>
  </si>
  <si>
    <t>Act2</t>
    <phoneticPr fontId="7" type="noConversion"/>
  </si>
  <si>
    <t>Act3</t>
    <phoneticPr fontId="7" type="noConversion"/>
  </si>
  <si>
    <t>Act4</t>
    <phoneticPr fontId="7" type="noConversion"/>
  </si>
  <si>
    <t>Act5</t>
    <phoneticPr fontId="7" type="noConversion"/>
  </si>
  <si>
    <t>海德格</t>
    <phoneticPr fontId="20" type="noConversion"/>
  </si>
  <si>
    <t>泰瑞尔</t>
    <phoneticPr fontId="20" type="noConversion"/>
  </si>
  <si>
    <t xml:space="preserve">	黒德里格</t>
  </si>
  <si>
    <t>米丽安</t>
    <phoneticPr fontId="20" type="noConversion"/>
  </si>
  <si>
    <t xml:space="preserve">	莉娅</t>
  </si>
  <si>
    <t>艾德莉亚</t>
    <phoneticPr fontId="20" type="noConversion"/>
  </si>
  <si>
    <t>洛拉斯</t>
    <phoneticPr fontId="20" type="noConversion"/>
  </si>
  <si>
    <t>托里恩将军</t>
    <phoneticPr fontId="20" type="noConversion"/>
  </si>
  <si>
    <t>2-7-1</t>
    <phoneticPr fontId="7" type="noConversion"/>
  </si>
  <si>
    <t>2-9-1</t>
    <phoneticPr fontId="7" type="noConversion"/>
  </si>
  <si>
    <t>2-10-1</t>
    <phoneticPr fontId="7" type="noConversion"/>
  </si>
  <si>
    <t>1-2-1</t>
    <phoneticPr fontId="7" type="noConversion"/>
  </si>
  <si>
    <t xml:space="preserve">  接任務</t>
    <phoneticPr fontId="7" type="noConversion"/>
  </si>
  <si>
    <t>接任務</t>
    <phoneticPr fontId="7" type="noConversion"/>
  </si>
  <si>
    <t xml:space="preserve">  擊殺迪亞布羅</t>
    <phoneticPr fontId="7" type="noConversion"/>
  </si>
  <si>
    <t>凯恩</t>
    <phoneticPr fontId="20" type="noConversion"/>
  </si>
  <si>
    <t>莉亞</t>
    <phoneticPr fontId="20" type="noConversion"/>
  </si>
  <si>
    <t xml:space="preserve">愛德莉雅	</t>
    <phoneticPr fontId="20" type="noConversion"/>
  </si>
  <si>
    <t>泰瑞爾</t>
    <phoneticPr fontId="20" type="noConversion"/>
  </si>
  <si>
    <t>凱恩</t>
    <phoneticPr fontId="20" type="noConversion"/>
  </si>
  <si>
    <t>世界的本質</t>
    <phoneticPr fontId="20" type="noConversion"/>
  </si>
  <si>
    <t>词条</t>
    <phoneticPr fontId="20" type="noConversion"/>
  </si>
  <si>
    <t>人名</t>
    <phoneticPr fontId="20" type="noConversion"/>
  </si>
  <si>
    <t>全章节</t>
    <phoneticPr fontId="20" type="noConversion"/>
  </si>
  <si>
    <t>沈老貪</t>
    <phoneticPr fontId="20" type="noConversion"/>
  </si>
  <si>
    <t>米瑞姆</t>
    <phoneticPr fontId="20" type="noConversion"/>
  </si>
  <si>
    <t>米菈·埃蒙</t>
    <phoneticPr fontId="20" type="noConversion"/>
  </si>
  <si>
    <t>海德格父親的下落/命運</t>
    <phoneticPr fontId="20" type="noConversion"/>
  </si>
  <si>
    <t>佐敦庫勒秘庫-暗影之境</t>
    <phoneticPr fontId="20" type="noConversion"/>
  </si>
  <si>
    <t>佐敦·库勒藏书馆-暗影领域</t>
    <phoneticPr fontId="20" type="noConversion"/>
  </si>
  <si>
    <t>佐敦·库勒藏书馆</t>
    <phoneticPr fontId="20" type="noConversion"/>
  </si>
  <si>
    <t>大地图</t>
    <phoneticPr fontId="20" type="noConversion"/>
  </si>
  <si>
    <t>你的隕落</t>
    <phoneticPr fontId="20" type="noConversion"/>
  </si>
  <si>
    <t>關於卡爾蒂姆</t>
    <phoneticPr fontId="20" type="noConversion"/>
  </si>
  <si>
    <t>卡爾蒂姆的難民</t>
    <phoneticPr fontId="20" type="noConversion"/>
  </si>
  <si>
    <t>過去的二十年</t>
    <phoneticPr fontId="20" type="noConversion"/>
  </si>
  <si>
    <t xml:space="preserve">  击杀彼列</t>
    <phoneticPr fontId="7" type="noConversion"/>
  </si>
  <si>
    <t>崔斯特姆（之行）</t>
    <phoneticPr fontId="20" type="noConversion"/>
  </si>
  <si>
    <t>守護要塞</t>
    <phoneticPr fontId="20" type="noConversion"/>
  </si>
  <si>
    <t>回味往事</t>
    <phoneticPr fontId="20" type="noConversion"/>
  </si>
  <si>
    <t>回憶</t>
    <phoneticPr fontId="20" type="noConversion"/>
  </si>
  <si>
    <t>回忆</t>
    <phoneticPr fontId="20" type="noConversion"/>
  </si>
  <si>
    <t>寇馬克</t>
    <phoneticPr fontId="20" type="noConversion"/>
  </si>
  <si>
    <t>林登</t>
    <phoneticPr fontId="20" type="noConversion"/>
  </si>
  <si>
    <t>艾蓮娜</t>
    <phoneticPr fontId="20" type="noConversion"/>
  </si>
  <si>
    <t>柯麦克</t>
    <phoneticPr fontId="20" type="noConversion"/>
  </si>
  <si>
    <t>艾蕾娜</t>
    <phoneticPr fontId="20" type="noConversion"/>
  </si>
  <si>
    <t>鑽石之門</t>
    <phoneticPr fontId="20" type="noConversion"/>
  </si>
  <si>
    <t>金刚大门</t>
    <phoneticPr fontId="20" type="noConversion"/>
  </si>
  <si>
    <t>狼王的真子</t>
    <phoneticPr fontId="7" type="noConversion"/>
  </si>
  <si>
    <t>托裡安將軍</t>
    <phoneticPr fontId="20" type="noConversion"/>
  </si>
  <si>
    <t>羅拉斯</t>
    <phoneticPr fontId="20" type="noConversion"/>
  </si>
  <si>
    <t xml:space="preserve">  3追隨者A5全對話</t>
    <phoneticPr fontId="7" type="noConversion"/>
  </si>
  <si>
    <t>1-1-2（此为任务进度编号，下同）</t>
    <phoneticPr fontId="7" type="noConversion"/>
  </si>
  <si>
    <t>说明：</t>
    <phoneticPr fontId="7" type="noConversion"/>
  </si>
  <si>
    <t xml:space="preserve">  进入沉沒神殿</t>
  </si>
  <si>
    <t xml:space="preserve">  进入軍械庫</t>
  </si>
  <si>
    <t xml:space="preserve">  进入天堂之巔</t>
  </si>
  <si>
    <t>自豪的葛炮#3286</t>
    <phoneticPr fontId="12" type="noConversion"/>
  </si>
  <si>
    <t>Savage Beast</t>
    <phoneticPr fontId="50" type="noConversion"/>
  </si>
  <si>
    <t>Savage Fiend</t>
    <phoneticPr fontId="50" type="noConversion"/>
  </si>
  <si>
    <t>Scavenger</t>
    <phoneticPr fontId="50" type="noConversion"/>
  </si>
  <si>
    <r>
      <t>S</t>
    </r>
    <r>
      <rPr>
        <sz val="10"/>
        <rFont val="宋体"/>
        <family val="3"/>
        <charset val="134"/>
      </rPr>
      <t>keletal Archer</t>
    </r>
    <phoneticPr fontId="50" type="noConversion"/>
  </si>
  <si>
    <t>Arachnid Horror</t>
    <phoneticPr fontId="50" type="noConversion"/>
  </si>
  <si>
    <r>
      <t>D</t>
    </r>
    <r>
      <rPr>
        <sz val="10"/>
        <rFont val="宋体"/>
        <family val="3"/>
        <charset val="134"/>
      </rPr>
      <t>ark Cultist</t>
    </r>
    <phoneticPr fontId="50" type="noConversion"/>
  </si>
  <si>
    <r>
      <t>D</t>
    </r>
    <r>
      <rPr>
        <sz val="10"/>
        <rFont val="宋体"/>
        <family val="3"/>
        <charset val="134"/>
      </rPr>
      <t>isentombed Hulk</t>
    </r>
    <phoneticPr fontId="50" type="noConversion"/>
  </si>
  <si>
    <r>
      <t>R</t>
    </r>
    <r>
      <rPr>
        <sz val="10"/>
        <rFont val="宋体"/>
        <family val="3"/>
        <charset val="134"/>
      </rPr>
      <t>etching Cadaver</t>
    </r>
    <phoneticPr fontId="50" type="noConversion"/>
  </si>
  <si>
    <t>Harvester</t>
    <phoneticPr fontId="50" type="noConversion"/>
  </si>
  <si>
    <t>Enraged Phantom</t>
    <phoneticPr fontId="50" type="noConversion"/>
  </si>
  <si>
    <r>
      <t>Q</t>
    </r>
    <r>
      <rPr>
        <sz val="10"/>
        <rFont val="宋体"/>
        <family val="3"/>
        <charset val="134"/>
      </rPr>
      <t>uill Demon</t>
    </r>
    <phoneticPr fontId="50" type="noConversion"/>
  </si>
  <si>
    <r>
      <t>R</t>
    </r>
    <r>
      <rPr>
        <sz val="10"/>
        <rFont val="宋体"/>
        <family val="3"/>
        <charset val="134"/>
      </rPr>
      <t>eturned Archer</t>
    </r>
    <phoneticPr fontId="50" type="noConversion"/>
  </si>
  <si>
    <r>
      <t>D</t>
    </r>
    <r>
      <rPr>
        <sz val="10"/>
        <rFont val="宋体"/>
        <family val="3"/>
        <charset val="134"/>
      </rPr>
      <t>ark Berserker</t>
    </r>
    <phoneticPr fontId="50" type="noConversion"/>
  </si>
  <si>
    <r>
      <t>U</t>
    </r>
    <r>
      <rPr>
        <sz val="10"/>
        <rFont val="宋体"/>
        <family val="3"/>
        <charset val="134"/>
      </rPr>
      <t>nholy Thrall</t>
    </r>
    <phoneticPr fontId="50" type="noConversion"/>
  </si>
  <si>
    <t>Hungry Corpse</t>
    <phoneticPr fontId="50" type="noConversion"/>
  </si>
  <si>
    <t>Voracious Zombie</t>
    <phoneticPr fontId="50" type="noConversion"/>
  </si>
  <si>
    <r>
      <t>H</t>
    </r>
    <r>
      <rPr>
        <sz val="10"/>
        <rFont val="宋体"/>
        <family val="3"/>
        <charset val="134"/>
      </rPr>
      <t>orned Charger</t>
    </r>
    <phoneticPr fontId="50" type="noConversion"/>
  </si>
  <si>
    <r>
      <t>C</t>
    </r>
    <r>
      <rPr>
        <sz val="10"/>
        <rFont val="宋体"/>
        <family val="3"/>
        <charset val="134"/>
      </rPr>
      <t>arrion Bat</t>
    </r>
    <phoneticPr fontId="50" type="noConversion"/>
  </si>
  <si>
    <r>
      <t>R</t>
    </r>
    <r>
      <rPr>
        <sz val="10"/>
        <rFont val="宋体"/>
        <family val="3"/>
        <charset val="134"/>
      </rPr>
      <t>eturned Executioner</t>
    </r>
    <phoneticPr fontId="50" type="noConversion"/>
  </si>
  <si>
    <r>
      <t>S</t>
    </r>
    <r>
      <rPr>
        <sz val="10"/>
        <rFont val="宋体"/>
        <family val="3"/>
        <charset val="134"/>
      </rPr>
      <t>piderling</t>
    </r>
    <phoneticPr fontId="50" type="noConversion"/>
  </si>
  <si>
    <r>
      <t>D</t>
    </r>
    <r>
      <rPr>
        <sz val="10"/>
        <rFont val="宋体"/>
        <family val="3"/>
        <charset val="134"/>
      </rPr>
      <t>ark hellion</t>
    </r>
    <phoneticPr fontId="50" type="noConversion"/>
  </si>
  <si>
    <r>
      <t>I</t>
    </r>
    <r>
      <rPr>
        <sz val="10"/>
        <rFont val="宋体"/>
        <family val="3"/>
        <charset val="134"/>
      </rPr>
      <t>mp</t>
    </r>
    <phoneticPr fontId="50" type="noConversion"/>
  </si>
  <si>
    <r>
      <t>G</t>
    </r>
    <r>
      <rPr>
        <sz val="10"/>
        <rFont val="宋体"/>
        <family val="3"/>
        <charset val="134"/>
      </rPr>
      <t>rotesque</t>
    </r>
    <phoneticPr fontId="50" type="noConversion"/>
  </si>
  <si>
    <t>Dark Moon Clan Warrior</t>
    <phoneticPr fontId="50" type="noConversion"/>
  </si>
  <si>
    <r>
      <t>D</t>
    </r>
    <r>
      <rPr>
        <sz val="10"/>
        <rFont val="宋体"/>
        <family val="3"/>
        <charset val="134"/>
      </rPr>
      <t>ark Moon Clan Shaman</t>
    </r>
    <phoneticPr fontId="50" type="noConversion"/>
  </si>
  <si>
    <r>
      <t xml:space="preserve">Ghostly </t>
    </r>
    <r>
      <rPr>
        <sz val="10"/>
        <rFont val="宋体"/>
        <family val="3"/>
        <charset val="134"/>
      </rPr>
      <t>Murderer</t>
    </r>
    <phoneticPr fontId="50" type="noConversion"/>
  </si>
  <si>
    <r>
      <t>B</t>
    </r>
    <r>
      <rPr>
        <sz val="10"/>
        <rFont val="宋体"/>
        <family val="3"/>
        <charset val="134"/>
      </rPr>
      <t>urrowing Leaper</t>
    </r>
    <phoneticPr fontId="50" type="noConversion"/>
  </si>
  <si>
    <r>
      <t>S</t>
    </r>
    <r>
      <rPr>
        <sz val="10"/>
        <rFont val="宋体"/>
        <family val="3"/>
        <charset val="134"/>
      </rPr>
      <t>keletal Shieldbearer</t>
    </r>
    <phoneticPr fontId="50" type="noConversion"/>
  </si>
  <si>
    <r>
      <t>S</t>
    </r>
    <r>
      <rPr>
        <sz val="10"/>
        <rFont val="宋体"/>
        <family val="3"/>
        <charset val="134"/>
      </rPr>
      <t>keleton</t>
    </r>
    <phoneticPr fontId="50" type="noConversion"/>
  </si>
  <si>
    <t>Toxic Lurker</t>
    <phoneticPr fontId="50" type="noConversion"/>
  </si>
  <si>
    <r>
      <t>D</t>
    </r>
    <r>
      <rPr>
        <sz val="10"/>
        <rFont val="宋体"/>
        <family val="3"/>
        <charset val="134"/>
      </rPr>
      <t>ark Vessel</t>
    </r>
    <phoneticPr fontId="50" type="noConversion"/>
  </si>
  <si>
    <r>
      <t>U</t>
    </r>
    <r>
      <rPr>
        <sz val="10"/>
        <rFont val="宋体"/>
        <family val="3"/>
        <charset val="134"/>
      </rPr>
      <t>nburied</t>
    </r>
    <phoneticPr fontId="50" type="noConversion"/>
  </si>
  <si>
    <t>Ravenous Dead</t>
  </si>
  <si>
    <t>Ghostly Gravedigger</t>
  </si>
  <si>
    <t>Dune Dervish</t>
  </si>
  <si>
    <r>
      <t>F</t>
    </r>
    <r>
      <rPr>
        <sz val="10"/>
        <rFont val="宋体"/>
        <family val="3"/>
        <charset val="134"/>
      </rPr>
      <t>allen</t>
    </r>
    <phoneticPr fontId="50" type="noConversion"/>
  </si>
  <si>
    <t>Fallen Cur</t>
    <phoneticPr fontId="50" type="noConversion"/>
  </si>
  <si>
    <r>
      <t>B</t>
    </r>
    <r>
      <rPr>
        <sz val="10"/>
        <rFont val="宋体"/>
        <family val="3"/>
        <charset val="134"/>
      </rPr>
      <t>etrayed</t>
    </r>
    <phoneticPr fontId="50" type="noConversion"/>
  </si>
  <si>
    <r>
      <t>C</t>
    </r>
    <r>
      <rPr>
        <sz val="10"/>
        <rFont val="宋体"/>
        <family val="3"/>
        <charset val="134"/>
      </rPr>
      <t>ave Wing</t>
    </r>
    <phoneticPr fontId="50" type="noConversion"/>
  </si>
  <si>
    <r>
      <t>V</t>
    </r>
    <r>
      <rPr>
        <sz val="10"/>
        <rFont val="宋体"/>
        <family val="3"/>
        <charset val="134"/>
      </rPr>
      <t>icious Ghoul</t>
    </r>
    <phoneticPr fontId="50" type="noConversion"/>
  </si>
  <si>
    <t>Sand Behemoth</t>
    <phoneticPr fontId="50" type="noConversion"/>
  </si>
  <si>
    <r>
      <t>A</t>
    </r>
    <r>
      <rPr>
        <sz val="10"/>
        <rFont val="宋体"/>
        <family val="3"/>
        <charset val="134"/>
      </rPr>
      <t>ncinet Walker</t>
    </r>
    <phoneticPr fontId="50" type="noConversion"/>
  </si>
  <si>
    <r>
      <t>S</t>
    </r>
    <r>
      <rPr>
        <sz val="10"/>
        <rFont val="宋体"/>
        <family val="3"/>
        <charset val="134"/>
      </rPr>
      <t>keletal Sentry</t>
    </r>
    <phoneticPr fontId="50" type="noConversion"/>
  </si>
  <si>
    <t>Skeletal Warrior</t>
    <phoneticPr fontId="50" type="noConversion"/>
  </si>
  <si>
    <r>
      <t>S</t>
    </r>
    <r>
      <rPr>
        <sz val="10"/>
        <rFont val="宋体"/>
        <family val="3"/>
        <charset val="134"/>
      </rPr>
      <t>keletal Ranger</t>
    </r>
    <phoneticPr fontId="50" type="noConversion"/>
  </si>
  <si>
    <r>
      <t>C</t>
    </r>
    <r>
      <rPr>
        <sz val="10"/>
        <rFont val="宋体"/>
        <family val="3"/>
        <charset val="134"/>
      </rPr>
      <t>harged Construct</t>
    </r>
    <phoneticPr fontId="50" type="noConversion"/>
  </si>
  <si>
    <r>
      <t>S</t>
    </r>
    <r>
      <rPr>
        <sz val="10"/>
        <rFont val="宋体"/>
        <family val="3"/>
        <charset val="134"/>
      </rPr>
      <t>erpent Magus</t>
    </r>
    <phoneticPr fontId="50" type="noConversion"/>
  </si>
  <si>
    <t>Brood Hatching</t>
    <phoneticPr fontId="50" type="noConversion"/>
  </si>
  <si>
    <r>
      <t>F</t>
    </r>
    <r>
      <rPr>
        <sz val="10"/>
        <rFont val="宋体"/>
        <family val="3"/>
        <charset val="134"/>
      </rPr>
      <t>allen Overseer</t>
    </r>
    <phoneticPr fontId="50" type="noConversion"/>
  </si>
  <si>
    <r>
      <t>F</t>
    </r>
    <r>
      <rPr>
        <sz val="10"/>
        <rFont val="宋体"/>
        <family val="3"/>
        <charset val="134"/>
      </rPr>
      <t>allen Peon</t>
    </r>
    <phoneticPr fontId="50" type="noConversion"/>
  </si>
  <si>
    <r>
      <t>F</t>
    </r>
    <r>
      <rPr>
        <sz val="10"/>
        <rFont val="宋体"/>
        <family val="3"/>
        <charset val="134"/>
      </rPr>
      <t>allen Conjurer</t>
    </r>
    <phoneticPr fontId="50" type="noConversion"/>
  </si>
  <si>
    <t>Fallen Shaman</t>
    <phoneticPr fontId="50" type="noConversion"/>
  </si>
  <si>
    <t>Accursed</t>
    <phoneticPr fontId="50" type="noConversion"/>
  </si>
  <si>
    <r>
      <t>M</t>
    </r>
    <r>
      <rPr>
        <sz val="10"/>
        <rFont val="宋体"/>
        <family val="3"/>
        <charset val="134"/>
      </rPr>
      <t>urderous Field</t>
    </r>
    <phoneticPr fontId="50" type="noConversion"/>
  </si>
  <si>
    <t>Lucuni Huntress</t>
    <phoneticPr fontId="50" type="noConversion"/>
  </si>
  <si>
    <r>
      <t>D</t>
    </r>
    <r>
      <rPr>
        <sz val="10"/>
        <rFont val="宋体"/>
        <family val="3"/>
        <charset val="134"/>
      </rPr>
      <t>ust Imp</t>
    </r>
    <phoneticPr fontId="50" type="noConversion"/>
  </si>
  <si>
    <t>Sand Behemoth</t>
    <phoneticPr fontId="50" type="noConversion"/>
  </si>
  <si>
    <r>
      <t>R</t>
    </r>
    <r>
      <rPr>
        <sz val="10"/>
        <rFont val="宋体"/>
        <family val="3"/>
        <charset val="134"/>
      </rPr>
      <t>eaper</t>
    </r>
    <phoneticPr fontId="50" type="noConversion"/>
  </si>
  <si>
    <t>Skeletal Raider</t>
    <phoneticPr fontId="50" type="noConversion"/>
  </si>
  <si>
    <t>Spine Hewer</t>
    <phoneticPr fontId="50" type="noConversion"/>
  </si>
  <si>
    <t>Smoldering Construct</t>
    <phoneticPr fontId="50" type="noConversion"/>
  </si>
  <si>
    <t>Toxic Guardian</t>
    <phoneticPr fontId="50" type="noConversion"/>
  </si>
  <si>
    <r>
      <t>W</t>
    </r>
    <r>
      <rPr>
        <sz val="10"/>
        <rFont val="宋体"/>
        <family val="3"/>
        <charset val="134"/>
      </rPr>
      <t>ebspitter Spider</t>
    </r>
    <phoneticPr fontId="50" type="noConversion"/>
  </si>
  <si>
    <r>
      <t>F</t>
    </r>
    <r>
      <rPr>
        <sz val="10"/>
        <rFont val="宋体"/>
        <family val="3"/>
        <charset val="134"/>
      </rPr>
      <t>renzied Hellion</t>
    </r>
    <phoneticPr fontId="50" type="noConversion"/>
  </si>
  <si>
    <r>
      <t>D</t>
    </r>
    <r>
      <rPr>
        <sz val="10"/>
        <rFont val="宋体"/>
        <family val="3"/>
        <charset val="134"/>
      </rPr>
      <t>eathly Haunt</t>
    </r>
    <phoneticPr fontId="50" type="noConversion"/>
  </si>
  <si>
    <t>Lucuni Slasher</t>
    <phoneticPr fontId="50" type="noConversion"/>
  </si>
  <si>
    <r>
      <t>B</t>
    </r>
    <r>
      <rPr>
        <sz val="10"/>
        <rFont val="宋体"/>
        <family val="3"/>
        <charset val="134"/>
      </rPr>
      <t>one Warrior</t>
    </r>
    <phoneticPr fontId="50" type="noConversion"/>
  </si>
  <si>
    <r>
      <t>S</t>
    </r>
    <r>
      <rPr>
        <sz val="10"/>
        <rFont val="宋体"/>
        <family val="3"/>
        <charset val="134"/>
      </rPr>
      <t>hock Guardian</t>
    </r>
    <phoneticPr fontId="50" type="noConversion"/>
  </si>
  <si>
    <r>
      <t>W</t>
    </r>
    <r>
      <rPr>
        <sz val="10"/>
        <rFont val="宋体"/>
        <family val="3"/>
        <charset val="134"/>
      </rPr>
      <t>rithing Deceiver</t>
    </r>
    <phoneticPr fontId="50" type="noConversion"/>
  </si>
  <si>
    <t>Savage Flyer</t>
    <phoneticPr fontId="50" type="noConversion"/>
  </si>
  <si>
    <r>
      <t>G</t>
    </r>
    <r>
      <rPr>
        <sz val="10"/>
        <rFont val="宋体"/>
        <family val="3"/>
        <charset val="134"/>
      </rPr>
      <t>rim Wraith</t>
    </r>
    <phoneticPr fontId="50" type="noConversion"/>
  </si>
  <si>
    <r>
      <t>R</t>
    </r>
    <r>
      <rPr>
        <sz val="10"/>
        <rFont val="宋体"/>
        <family val="3"/>
        <charset val="134"/>
      </rPr>
      <t>ock Gaint</t>
    </r>
    <phoneticPr fontId="50" type="noConversion"/>
  </si>
  <si>
    <r>
      <t>S</t>
    </r>
    <r>
      <rPr>
        <sz val="10"/>
        <rFont val="宋体"/>
        <family val="3"/>
        <charset val="134"/>
      </rPr>
      <t>and Wasp</t>
    </r>
    <phoneticPr fontId="50" type="noConversion"/>
  </si>
  <si>
    <r>
      <t>C</t>
    </r>
    <r>
      <rPr>
        <sz val="10"/>
        <rFont val="宋体"/>
        <family val="3"/>
        <charset val="134"/>
      </rPr>
      <t>hilling Construct</t>
    </r>
    <phoneticPr fontId="50" type="noConversion"/>
  </si>
  <si>
    <r>
      <t>D</t>
    </r>
    <r>
      <rPr>
        <sz val="10"/>
        <rFont val="宋体"/>
        <family val="3"/>
        <charset val="134"/>
      </rPr>
      <t>esert Raptor</t>
    </r>
    <phoneticPr fontId="50" type="noConversion"/>
  </si>
  <si>
    <t>Lucuni Huntress</t>
  </si>
  <si>
    <r>
      <t>L</t>
    </r>
    <r>
      <rPr>
        <sz val="10"/>
        <rFont val="宋体"/>
        <family val="3"/>
        <charset val="134"/>
      </rPr>
      <t>acuni Stalker</t>
    </r>
    <phoneticPr fontId="50" type="noConversion"/>
  </si>
  <si>
    <r>
      <t>D</t>
    </r>
    <r>
      <rPr>
        <sz val="10"/>
        <rFont val="宋体"/>
        <family val="3"/>
        <charset val="134"/>
      </rPr>
      <t>esiccated Imp</t>
    </r>
    <phoneticPr fontId="50" type="noConversion"/>
  </si>
  <si>
    <r>
      <t>D</t>
    </r>
    <r>
      <rPr>
        <sz val="10"/>
        <rFont val="宋体"/>
        <family val="3"/>
        <charset val="134"/>
      </rPr>
      <t>une Thersher</t>
    </r>
    <phoneticPr fontId="50" type="noConversion"/>
  </si>
  <si>
    <t>Toxic Construct</t>
    <phoneticPr fontId="50" type="noConversion"/>
  </si>
  <si>
    <r>
      <t>V</t>
    </r>
    <r>
      <rPr>
        <sz val="10"/>
        <rFont val="宋体"/>
        <family val="3"/>
        <charset val="134"/>
      </rPr>
      <t>ile Swarm</t>
    </r>
    <phoneticPr fontId="50" type="noConversion"/>
  </si>
  <si>
    <r>
      <t>V</t>
    </r>
    <r>
      <rPr>
        <sz val="10"/>
        <rFont val="宋体"/>
        <family val="3"/>
        <charset val="134"/>
      </rPr>
      <t>icious Mangler</t>
    </r>
    <phoneticPr fontId="50" type="noConversion"/>
  </si>
  <si>
    <r>
      <t>D</t>
    </r>
    <r>
      <rPr>
        <sz val="10"/>
        <rFont val="宋体"/>
        <family val="3"/>
        <charset val="134"/>
      </rPr>
      <t>eranged Clutist</t>
    </r>
    <phoneticPr fontId="50" type="noConversion"/>
  </si>
  <si>
    <r>
      <t>F</t>
    </r>
    <r>
      <rPr>
        <sz val="10"/>
        <rFont val="宋体"/>
        <family val="3"/>
        <charset val="134"/>
      </rPr>
      <t>oul Conjurer</t>
    </r>
    <phoneticPr fontId="50" type="noConversion"/>
  </si>
  <si>
    <r>
      <t>D</t>
    </r>
    <r>
      <rPr>
        <sz val="10"/>
        <rFont val="宋体"/>
        <family val="3"/>
        <charset val="134"/>
      </rPr>
      <t>emonic Hellflyer</t>
    </r>
    <phoneticPr fontId="50" type="noConversion"/>
  </si>
  <si>
    <r>
      <t>F</t>
    </r>
    <r>
      <rPr>
        <sz val="10"/>
        <rFont val="宋体"/>
        <family val="3"/>
        <charset val="134"/>
      </rPr>
      <t>allen Slavelord</t>
    </r>
    <phoneticPr fontId="50" type="noConversion"/>
  </si>
  <si>
    <t>Fallen Soldier</t>
    <phoneticPr fontId="50" type="noConversion"/>
  </si>
  <si>
    <r>
      <t>F</t>
    </r>
    <r>
      <rPr>
        <sz val="10"/>
        <rFont val="宋体"/>
        <family val="3"/>
        <charset val="134"/>
      </rPr>
      <t>allen Prophet</t>
    </r>
    <phoneticPr fontId="50" type="noConversion"/>
  </si>
  <si>
    <r>
      <t>B</t>
    </r>
    <r>
      <rPr>
        <sz val="10"/>
        <rFont val="宋体"/>
        <family val="3"/>
        <charset val="134"/>
      </rPr>
      <t>lood Clan Occultist</t>
    </r>
    <phoneticPr fontId="50" type="noConversion"/>
  </si>
  <si>
    <r>
      <t>S</t>
    </r>
    <r>
      <rPr>
        <sz val="10"/>
        <rFont val="宋体"/>
        <family val="3"/>
        <charset val="134"/>
      </rPr>
      <t>tygian Crawler</t>
    </r>
    <phoneticPr fontId="50" type="noConversion"/>
  </si>
  <si>
    <t>Skull Sword</t>
    <phoneticPr fontId="50" type="noConversion"/>
  </si>
  <si>
    <r>
      <t>S</t>
    </r>
    <r>
      <rPr>
        <sz val="10"/>
        <rFont val="宋体"/>
        <family val="3"/>
        <charset val="134"/>
      </rPr>
      <t>oul Ripper</t>
    </r>
    <phoneticPr fontId="50" type="noConversion"/>
  </si>
  <si>
    <r>
      <t>C</t>
    </r>
    <r>
      <rPr>
        <sz val="10"/>
        <rFont val="宋体"/>
        <family val="3"/>
        <charset val="134"/>
      </rPr>
      <t>olossal Golgor</t>
    </r>
    <phoneticPr fontId="50" type="noConversion"/>
  </si>
  <si>
    <r>
      <t>M</t>
    </r>
    <r>
      <rPr>
        <sz val="10"/>
        <rFont val="宋体"/>
        <family val="3"/>
        <charset val="134"/>
      </rPr>
      <t>aniacal Golgor</t>
    </r>
    <phoneticPr fontId="50" type="noConversion"/>
  </si>
  <si>
    <t>Demonic Tremor</t>
    <phoneticPr fontId="50" type="noConversion"/>
  </si>
  <si>
    <r>
      <t>H</t>
    </r>
    <r>
      <rPr>
        <sz val="10"/>
        <rFont val="宋体"/>
        <family val="3"/>
        <charset val="134"/>
      </rPr>
      <t>erald of Pestilence</t>
    </r>
    <phoneticPr fontId="50" type="noConversion"/>
  </si>
  <si>
    <r>
      <t>D</t>
    </r>
    <r>
      <rPr>
        <sz val="10"/>
        <rFont val="宋体"/>
        <family val="3"/>
        <charset val="134"/>
      </rPr>
      <t>emom Trooper</t>
    </r>
    <phoneticPr fontId="50" type="noConversion"/>
  </si>
  <si>
    <r>
      <t>F</t>
    </r>
    <r>
      <rPr>
        <sz val="10"/>
        <rFont val="宋体"/>
        <family val="3"/>
        <charset val="134"/>
      </rPr>
      <t>allen Grunt</t>
    </r>
    <phoneticPr fontId="50" type="noConversion"/>
  </si>
  <si>
    <r>
      <t>F</t>
    </r>
    <r>
      <rPr>
        <sz val="10"/>
        <rFont val="宋体"/>
        <family val="3"/>
        <charset val="134"/>
      </rPr>
      <t>allen Hellhound</t>
    </r>
    <phoneticPr fontId="50" type="noConversion"/>
  </si>
  <si>
    <r>
      <t>B</t>
    </r>
    <r>
      <rPr>
        <sz val="10"/>
        <rFont val="宋体"/>
        <family val="3"/>
        <charset val="134"/>
      </rPr>
      <t>lood Clan Warrior</t>
    </r>
    <phoneticPr fontId="50" type="noConversion"/>
  </si>
  <si>
    <r>
      <t>W</t>
    </r>
    <r>
      <rPr>
        <sz val="10"/>
        <rFont val="宋体"/>
        <family val="3"/>
        <charset val="134"/>
      </rPr>
      <t>wintersbane Huntress</t>
    </r>
    <phoneticPr fontId="50" type="noConversion"/>
  </si>
  <si>
    <r>
      <t>S</t>
    </r>
    <r>
      <rPr>
        <sz val="10"/>
        <rFont val="宋体"/>
        <family val="3"/>
        <charset val="134"/>
      </rPr>
      <t>keletal Raider</t>
    </r>
    <phoneticPr fontId="50" type="noConversion"/>
  </si>
  <si>
    <t>Skull Cleaver</t>
    <phoneticPr fontId="50" type="noConversion"/>
  </si>
  <si>
    <r>
      <t>S</t>
    </r>
    <r>
      <rPr>
        <sz val="10"/>
        <rFont val="宋体"/>
        <family val="3"/>
        <charset val="134"/>
      </rPr>
      <t>uccubus</t>
    </r>
    <phoneticPr fontId="50" type="noConversion"/>
  </si>
  <si>
    <r>
      <t>F</t>
    </r>
    <r>
      <rPr>
        <sz val="10"/>
        <rFont val="宋体"/>
        <family val="3"/>
        <charset val="134"/>
      </rPr>
      <t>allen Overlord</t>
    </r>
    <phoneticPr fontId="50" type="noConversion"/>
  </si>
  <si>
    <r>
      <t>F</t>
    </r>
    <r>
      <rPr>
        <sz val="10"/>
        <rFont val="宋体"/>
        <family val="3"/>
        <charset val="134"/>
      </rPr>
      <t>allen Mongrel</t>
    </r>
    <phoneticPr fontId="50" type="noConversion"/>
  </si>
  <si>
    <t>Blood Clan Impaler</t>
    <phoneticPr fontId="50" type="noConversion"/>
  </si>
  <si>
    <r>
      <t>D</t>
    </r>
    <r>
      <rPr>
        <sz val="10"/>
        <rFont val="宋体"/>
        <family val="3"/>
        <charset val="134"/>
      </rPr>
      <t>ark Skeletal Bowman</t>
    </r>
    <phoneticPr fontId="50" type="noConversion"/>
  </si>
  <si>
    <t>Blood Clan Mauler</t>
    <phoneticPr fontId="50" type="noConversion"/>
  </si>
  <si>
    <r>
      <t>Blood Clan</t>
    </r>
    <r>
      <rPr>
        <sz val="10"/>
        <rFont val="宋体"/>
        <family val="3"/>
        <charset val="134"/>
      </rPr>
      <t xml:space="preserve"> Sorcerer</t>
    </r>
    <phoneticPr fontId="50" type="noConversion"/>
  </si>
  <si>
    <r>
      <t>I</t>
    </r>
    <r>
      <rPr>
        <sz val="10"/>
        <rFont val="宋体"/>
        <family val="3"/>
        <charset val="134"/>
      </rPr>
      <t>cy Quillback</t>
    </r>
    <phoneticPr fontId="50" type="noConversion"/>
  </si>
  <si>
    <r>
      <t>P</t>
    </r>
    <r>
      <rPr>
        <sz val="10"/>
        <rFont val="宋体"/>
        <family val="3"/>
        <charset val="134"/>
      </rPr>
      <t>lague Swarm</t>
    </r>
    <phoneticPr fontId="50" type="noConversion"/>
  </si>
  <si>
    <r>
      <t>H</t>
    </r>
    <r>
      <rPr>
        <sz val="10"/>
        <rFont val="宋体"/>
        <family val="3"/>
        <charset val="134"/>
      </rPr>
      <t>ulking Phasebeast</t>
    </r>
    <phoneticPr fontId="50" type="noConversion"/>
  </si>
  <si>
    <r>
      <t>D</t>
    </r>
    <r>
      <rPr>
        <sz val="10"/>
        <rFont val="宋体"/>
        <family val="3"/>
        <charset val="134"/>
      </rPr>
      <t>emonic Hellflyer</t>
    </r>
    <phoneticPr fontId="50" type="noConversion"/>
  </si>
  <si>
    <r>
      <t>W</t>
    </r>
    <r>
      <rPr>
        <sz val="10"/>
        <rFont val="宋体"/>
        <family val="3"/>
        <charset val="134"/>
      </rPr>
      <t>inged Molok</t>
    </r>
    <phoneticPr fontId="50" type="noConversion"/>
  </si>
  <si>
    <r>
      <t>D</t>
    </r>
    <r>
      <rPr>
        <sz val="10"/>
        <rFont val="宋体"/>
        <family val="3"/>
        <charset val="134"/>
      </rPr>
      <t>emon Maraduer</t>
    </r>
    <phoneticPr fontId="50" type="noConversion"/>
  </si>
  <si>
    <r>
      <t>R</t>
    </r>
    <r>
      <rPr>
        <sz val="10"/>
        <rFont val="宋体"/>
        <family val="3"/>
        <charset val="134"/>
      </rPr>
      <t>eviled</t>
    </r>
    <phoneticPr fontId="50" type="noConversion"/>
  </si>
  <si>
    <t>Blazing Ghoul</t>
    <phoneticPr fontId="50" type="noConversion"/>
  </si>
  <si>
    <t>Tormrnted Stinger</t>
    <phoneticPr fontId="50" type="noConversion"/>
  </si>
  <si>
    <r>
      <t>D</t>
    </r>
    <r>
      <rPr>
        <sz val="10"/>
        <rFont val="宋体"/>
        <family val="3"/>
        <charset val="134"/>
      </rPr>
      <t>emonic Serpent</t>
    </r>
    <phoneticPr fontId="50" type="noConversion"/>
  </si>
  <si>
    <t>Swift Skull Cleaver</t>
    <phoneticPr fontId="50" type="noConversion"/>
  </si>
  <si>
    <r>
      <t>A</t>
    </r>
    <r>
      <rPr>
        <sz val="10"/>
        <rFont val="宋体"/>
        <family val="3"/>
        <charset val="134"/>
      </rPr>
      <t>rmored Destroyer</t>
    </r>
    <phoneticPr fontId="50" type="noConversion"/>
  </si>
  <si>
    <r>
      <t>E</t>
    </r>
    <r>
      <rPr>
        <sz val="10"/>
        <rFont val="宋体"/>
        <family val="3"/>
        <charset val="134"/>
      </rPr>
      <t>nslaved Nightmare</t>
    </r>
    <phoneticPr fontId="50" type="noConversion"/>
  </si>
  <si>
    <t>Subjugator</t>
    <phoneticPr fontId="50" type="noConversion"/>
  </si>
  <si>
    <r>
      <t>M</t>
    </r>
    <r>
      <rPr>
        <sz val="10"/>
        <rFont val="宋体"/>
        <family val="3"/>
        <charset val="134"/>
      </rPr>
      <t>orlu Legionnaire</t>
    </r>
    <phoneticPr fontId="50" type="noConversion"/>
  </si>
  <si>
    <t>Darksky Fire Demon</t>
    <phoneticPr fontId="50" type="noConversion"/>
  </si>
  <si>
    <r>
      <t>M</t>
    </r>
    <r>
      <rPr>
        <sz val="10"/>
        <rFont val="宋体"/>
        <family val="3"/>
        <charset val="134"/>
      </rPr>
      <t>allet Lord</t>
    </r>
    <phoneticPr fontId="50" type="noConversion"/>
  </si>
  <si>
    <r>
      <t>M</t>
    </r>
    <r>
      <rPr>
        <sz val="10"/>
        <rFont val="宋体"/>
        <family val="3"/>
        <charset val="134"/>
      </rPr>
      <t>ounted Armaddon</t>
    </r>
    <phoneticPr fontId="50" type="noConversion"/>
  </si>
  <si>
    <r>
      <t>M</t>
    </r>
    <r>
      <rPr>
        <sz val="10"/>
        <rFont val="宋体"/>
        <family val="3"/>
        <charset val="134"/>
      </rPr>
      <t>orlu Incinerator</t>
    </r>
    <phoneticPr fontId="50" type="noConversion"/>
  </si>
  <si>
    <r>
      <t>C</t>
    </r>
    <r>
      <rPr>
        <sz val="10"/>
        <rFont val="宋体"/>
        <family val="3"/>
        <charset val="134"/>
      </rPr>
      <t>orrupted Angel</t>
    </r>
    <phoneticPr fontId="50" type="noConversion"/>
  </si>
  <si>
    <r>
      <t>O</t>
    </r>
    <r>
      <rPr>
        <sz val="10"/>
        <rFont val="宋体"/>
        <family val="3"/>
        <charset val="134"/>
      </rPr>
      <t>ppressor</t>
    </r>
    <phoneticPr fontId="50" type="noConversion"/>
  </si>
  <si>
    <r>
      <t>H</t>
    </r>
    <r>
      <rPr>
        <sz val="10"/>
        <rFont val="宋体"/>
        <family val="3"/>
        <charset val="134"/>
      </rPr>
      <t>ell Witch</t>
    </r>
    <phoneticPr fontId="50" type="noConversion"/>
  </si>
  <si>
    <r>
      <t>R</t>
    </r>
    <r>
      <rPr>
        <sz val="10"/>
        <rFont val="宋体"/>
        <family val="3"/>
        <charset val="134"/>
      </rPr>
      <t>at Caller</t>
    </r>
    <phoneticPr fontId="50" type="noConversion"/>
  </si>
  <si>
    <r>
      <t>L</t>
    </r>
    <r>
      <rPr>
        <sz val="10"/>
        <rFont val="宋体"/>
        <family val="3"/>
        <charset val="134"/>
      </rPr>
      <t>ashing Creeper</t>
    </r>
    <phoneticPr fontId="50" type="noConversion"/>
  </si>
  <si>
    <r>
      <t>T</t>
    </r>
    <r>
      <rPr>
        <sz val="10"/>
        <rFont val="宋体"/>
        <family val="3"/>
        <charset val="134"/>
      </rPr>
      <t>usked Bogan</t>
    </r>
    <phoneticPr fontId="50" type="noConversion"/>
  </si>
  <si>
    <r>
      <t>F</t>
    </r>
    <r>
      <rPr>
        <sz val="10"/>
        <rFont val="宋体"/>
        <family val="3"/>
        <charset val="134"/>
      </rPr>
      <t>lesh Gorger</t>
    </r>
    <phoneticPr fontId="50" type="noConversion"/>
  </si>
  <si>
    <r>
      <t>W</t>
    </r>
    <r>
      <rPr>
        <sz val="10"/>
        <rFont val="宋体"/>
        <family val="3"/>
        <charset val="134"/>
      </rPr>
      <t>inged Assassin</t>
    </r>
    <phoneticPr fontId="50" type="noConversion"/>
  </si>
  <si>
    <r>
      <t>E</t>
    </r>
    <r>
      <rPr>
        <sz val="10"/>
        <rFont val="宋体"/>
        <family val="3"/>
        <charset val="134"/>
      </rPr>
      <t>xecutioner</t>
    </r>
    <phoneticPr fontId="50" type="noConversion"/>
  </si>
  <si>
    <r>
      <t>P</t>
    </r>
    <r>
      <rPr>
        <sz val="10"/>
        <rFont val="宋体"/>
        <family val="3"/>
        <charset val="134"/>
      </rPr>
      <t>rimordial Scavenger</t>
    </r>
    <phoneticPr fontId="50" type="noConversion"/>
  </si>
  <si>
    <r>
      <t>C</t>
    </r>
    <r>
      <rPr>
        <sz val="10"/>
        <rFont val="宋体"/>
        <family val="3"/>
        <charset val="134"/>
      </rPr>
      <t>orpse Raiser</t>
    </r>
    <phoneticPr fontId="50" type="noConversion"/>
  </si>
  <si>
    <r>
      <t>D</t>
    </r>
    <r>
      <rPr>
        <sz val="10"/>
        <rFont val="宋体"/>
        <family val="3"/>
        <charset val="134"/>
      </rPr>
      <t xml:space="preserve">eath Maiden </t>
    </r>
    <phoneticPr fontId="50" type="noConversion"/>
  </si>
  <si>
    <r>
      <t>R</t>
    </r>
    <r>
      <rPr>
        <sz val="10"/>
        <rFont val="宋体"/>
        <family val="3"/>
        <charset val="134"/>
      </rPr>
      <t>evenant Shield Guard</t>
    </r>
    <phoneticPr fontId="50" type="noConversion"/>
  </si>
  <si>
    <r>
      <t>H</t>
    </r>
    <r>
      <rPr>
        <sz val="10"/>
        <rFont val="宋体"/>
        <family val="3"/>
        <charset val="134"/>
      </rPr>
      <t>ound Pack Leader</t>
    </r>
    <phoneticPr fontId="50" type="noConversion"/>
  </si>
  <si>
    <r>
      <t>S</t>
    </r>
    <r>
      <rPr>
        <sz val="10"/>
        <rFont val="宋体"/>
        <family val="3"/>
        <charset val="134"/>
      </rPr>
      <t>keletal Crawler</t>
    </r>
    <phoneticPr fontId="50" type="noConversion"/>
  </si>
  <si>
    <r>
      <t>C</t>
    </r>
    <r>
      <rPr>
        <sz val="10"/>
        <rFont val="宋体"/>
        <family val="3"/>
        <charset val="134"/>
      </rPr>
      <t>ave Bat</t>
    </r>
    <phoneticPr fontId="50" type="noConversion"/>
  </si>
  <si>
    <r>
      <t>M</t>
    </r>
    <r>
      <rPr>
        <sz val="10"/>
        <rFont val="宋体"/>
        <family val="3"/>
        <charset val="134"/>
      </rPr>
      <t>aggot Brood</t>
    </r>
    <phoneticPr fontId="50" type="noConversion"/>
  </si>
  <si>
    <r>
      <t>S</t>
    </r>
    <r>
      <rPr>
        <sz val="10"/>
        <rFont val="宋体"/>
        <family val="3"/>
        <charset val="134"/>
      </rPr>
      <t>hrieking Terror</t>
    </r>
    <phoneticPr fontId="50" type="noConversion"/>
  </si>
  <si>
    <r>
      <t>F</t>
    </r>
    <r>
      <rPr>
        <sz val="10"/>
        <rFont val="宋体"/>
        <family val="3"/>
        <charset val="134"/>
      </rPr>
      <t>lesh Shaman</t>
    </r>
    <phoneticPr fontId="50" type="noConversion"/>
  </si>
  <si>
    <r>
      <t>A</t>
    </r>
    <r>
      <rPr>
        <sz val="10"/>
        <rFont val="宋体"/>
        <family val="3"/>
        <charset val="134"/>
      </rPr>
      <t>narch</t>
    </r>
    <phoneticPr fontId="50" type="noConversion"/>
  </si>
  <si>
    <r>
      <t>E</t>
    </r>
    <r>
      <rPr>
        <sz val="10"/>
        <rFont val="宋体"/>
        <family val="3"/>
        <charset val="134"/>
      </rPr>
      <t>xarch</t>
    </r>
    <phoneticPr fontId="50" type="noConversion"/>
  </si>
  <si>
    <r>
      <t>B</t>
    </r>
    <r>
      <rPr>
        <sz val="10"/>
        <rFont val="宋体"/>
        <family val="3"/>
        <charset val="134"/>
      </rPr>
      <t>arber Lurker</t>
    </r>
    <phoneticPr fontId="50" type="noConversion"/>
  </si>
  <si>
    <r>
      <t>G</t>
    </r>
    <r>
      <rPr>
        <sz val="10"/>
        <rFont val="宋体"/>
        <family val="3"/>
        <charset val="134"/>
      </rPr>
      <t>hastly Seraph</t>
    </r>
    <phoneticPr fontId="50" type="noConversion"/>
  </si>
  <si>
    <r>
      <t>R</t>
    </r>
    <r>
      <rPr>
        <sz val="10"/>
        <rFont val="宋体"/>
        <family val="3"/>
        <charset val="134"/>
      </rPr>
      <t>evenant Soldier</t>
    </r>
    <phoneticPr fontId="50" type="noConversion"/>
  </si>
  <si>
    <r>
      <t>R</t>
    </r>
    <r>
      <rPr>
        <sz val="10"/>
        <rFont val="宋体"/>
        <family val="3"/>
        <charset val="134"/>
      </rPr>
      <t>evenant Archer</t>
    </r>
    <phoneticPr fontId="50" type="noConversion"/>
  </si>
  <si>
    <r>
      <t>B</t>
    </r>
    <r>
      <rPr>
        <sz val="10"/>
        <rFont val="宋体"/>
        <family val="3"/>
        <charset val="134"/>
      </rPr>
      <t>oggit</t>
    </r>
    <phoneticPr fontId="50" type="noConversion"/>
  </si>
  <si>
    <r>
      <t>B</t>
    </r>
    <r>
      <rPr>
        <sz val="10"/>
        <rFont val="宋体"/>
        <family val="3"/>
        <charset val="134"/>
      </rPr>
      <t>ogan Trapper</t>
    </r>
    <phoneticPr fontId="50" type="noConversion"/>
  </si>
  <si>
    <r>
      <t>S</t>
    </r>
    <r>
      <rPr>
        <sz val="10"/>
        <rFont val="宋体"/>
        <family val="3"/>
        <charset val="134"/>
      </rPr>
      <t>couring Lobber</t>
    </r>
    <phoneticPr fontId="50" type="noConversion"/>
  </si>
  <si>
    <r>
      <t>V</t>
    </r>
    <r>
      <rPr>
        <sz val="10"/>
        <rFont val="宋体"/>
        <family val="3"/>
        <charset val="134"/>
      </rPr>
      <t>ile Bat</t>
    </r>
    <phoneticPr fontId="50" type="noConversion"/>
  </si>
  <si>
    <r>
      <t>S</t>
    </r>
    <r>
      <rPr>
        <sz val="10"/>
        <rFont val="宋体"/>
        <family val="3"/>
        <charset val="134"/>
      </rPr>
      <t>carab</t>
    </r>
    <phoneticPr fontId="50" type="noConversion"/>
  </si>
  <si>
    <r>
      <t>S</t>
    </r>
    <r>
      <rPr>
        <sz val="10"/>
        <rFont val="宋体"/>
        <family val="3"/>
        <charset val="134"/>
      </rPr>
      <t>couring Charger</t>
    </r>
    <phoneticPr fontId="50" type="noConversion"/>
  </si>
  <si>
    <t>Swift Fleshmauler</t>
    <phoneticPr fontId="50" type="noConversion"/>
  </si>
  <si>
    <t>Vicious Hound</t>
    <phoneticPr fontId="50" type="noConversion"/>
  </si>
  <si>
    <r>
      <t xml:space="preserve">Flesh </t>
    </r>
    <r>
      <rPr>
        <sz val="10"/>
        <rFont val="宋体"/>
        <family val="3"/>
        <charset val="134"/>
      </rPr>
      <t>H</t>
    </r>
    <r>
      <rPr>
        <sz val="10"/>
        <rFont val="宋体"/>
        <family val="3"/>
        <charset val="134"/>
      </rPr>
      <t>urler</t>
    </r>
    <phoneticPr fontId="50" type="noConversion"/>
  </si>
  <si>
    <t>Scavenging Tunneler</t>
    <phoneticPr fontId="50" type="noConversion"/>
  </si>
  <si>
    <r>
      <t>E</t>
    </r>
    <r>
      <rPr>
        <sz val="10"/>
        <rFont val="宋体"/>
        <family val="3"/>
        <charset val="134"/>
      </rPr>
      <t>xorcist</t>
    </r>
    <phoneticPr fontId="50" type="noConversion"/>
  </si>
  <si>
    <r>
      <t>V</t>
    </r>
    <r>
      <rPr>
        <sz val="10"/>
        <rFont val="宋体"/>
        <family val="3"/>
        <charset val="134"/>
      </rPr>
      <t>engeful Phantasm</t>
    </r>
    <phoneticPr fontId="50" type="noConversion"/>
  </si>
  <si>
    <t>Ghastly Seraph</t>
    <phoneticPr fontId="50" type="noConversion"/>
  </si>
  <si>
    <t>zbyxzh （现任）</t>
    <phoneticPr fontId="12" type="noConversion"/>
  </si>
  <si>
    <t>　　欢迎暗黑3成就爱好者入群参与讨论。若发现表格中的错误或遗漏，请在群内反馈，或联系现任主编（Email：zbyxzh@126.com）。</t>
    <phoneticPr fontId="12" type="noConversion"/>
  </si>
  <si>
    <t>对话</t>
    <phoneticPr fontId="7" type="noConversion"/>
  </si>
  <si>
    <t>章节</t>
    <phoneticPr fontId="7" type="noConversion"/>
  </si>
  <si>
    <t>起始任务</t>
    <phoneticPr fontId="7" type="noConversion"/>
  </si>
  <si>
    <t>备注</t>
    <phoneticPr fontId="7" type="noConversion"/>
  </si>
  <si>
    <t>聖堂騎士之路</t>
  </si>
  <si>
    <t>第一章至第四章</t>
  </si>
  <si>
    <t>前生之罪</t>
  </si>
  <si>
    <t>入會儀式</t>
  </si>
  <si>
    <t>教條規章</t>
  </si>
  <si>
    <t>尋求真相</t>
  </si>
  <si>
    <t>第二章至第四章</t>
  </si>
  <si>
    <t>危險的日誌</t>
  </si>
  <si>
    <t>面對恐懼</t>
  </si>
  <si>
    <t>揭露的過往</t>
  </si>
  <si>
    <t>撕落的書頁</t>
  </si>
  <si>
    <t>第三章至第四章</t>
  </si>
  <si>
    <t>聖堂騎士的研究</t>
  </si>
  <si>
    <t>真相</t>
  </si>
  <si>
    <t>聖典的秘密</t>
  </si>
  <si>
    <t>聖堂騎士的自白</t>
  </si>
  <si>
    <t>第四章</t>
  </si>
  <si>
    <t>真神教的秘密</t>
  </si>
  <si>
    <t>击杀伊斯卡图之前对话</t>
  </si>
  <si>
    <t>击杀伊斯卡图之前对话</t>
    <phoneticPr fontId="7" type="noConversion"/>
  </si>
  <si>
    <t>死性不改</t>
  </si>
  <si>
    <t>家人</t>
  </si>
  <si>
    <t>兄弟殊途</t>
  </si>
  <si>
    <t>手足情深</t>
  </si>
  <si>
    <t>小偷的秘密</t>
  </si>
  <si>
    <t>失散的家人</t>
  </si>
  <si>
    <t>失落的年代</t>
  </si>
  <si>
    <t>始料未及</t>
  </si>
  <si>
    <t>部分的你</t>
  </si>
  <si>
    <t>古老的秘密</t>
  </si>
  <si>
    <t>俘获彼列灵魂后激活</t>
  </si>
  <si>
    <t>失去的朋友</t>
  </si>
  <si>
    <t>垂死的天使</t>
  </si>
  <si>
    <t>找凯恩接任务之前对话</t>
  </si>
  <si>
    <t>任务1-2-1开始之前对话</t>
  </si>
  <si>
    <t>第一章结束之前对话</t>
  </si>
  <si>
    <t>第一章至第三章</t>
  </si>
  <si>
    <t>第三章结束之前对话</t>
  </si>
  <si>
    <t>第二章结束之前对话</t>
  </si>
  <si>
    <t>第二章至第三章</t>
  </si>
  <si>
    <t>点完烽火之前对话</t>
  </si>
  <si>
    <t>找泰瑞尔接任务前完成</t>
  </si>
  <si>
    <t>迪亚波罗重生后激活</t>
  </si>
  <si>
    <t>第一章结束前对话</t>
  </si>
  <si>
    <t>找回第二块碎片之前对话</t>
  </si>
  <si>
    <t>修复李奥瑞克的王冠之前对话</t>
  </si>
  <si>
    <t>救回泰瑞尔之前对话</t>
  </si>
  <si>
    <t>第三章结束前对话</t>
  </si>
  <si>
    <t>击杀玛格达之前对话</t>
  </si>
  <si>
    <t>救回爱德莉雅之前对话</t>
  </si>
  <si>
    <t>找佐敦库勒接任务前对话</t>
  </si>
  <si>
    <t>击杀佐敦库勒之前对话</t>
  </si>
  <si>
    <t>第二章结束前对话</t>
  </si>
  <si>
    <t>完成灵魂石的震颤之前对话</t>
  </si>
  <si>
    <t>击杀攻城破坏兽之前对话</t>
  </si>
  <si>
    <t>完成希望之光前对话</t>
  </si>
  <si>
    <t>完成尖塔之下前对话</t>
  </si>
  <si>
    <t>击杀迪亚波罗之前对话</t>
  </si>
  <si>
    <t>击杀迪亚波罗后回城对话</t>
  </si>
  <si>
    <t>1-7-1找泰瑞尔接任务前对话</t>
  </si>
  <si>
    <t>找莉亚接任务后激活，第二章结束之前对话</t>
    <phoneticPr fontId="7" type="noConversion"/>
  </si>
  <si>
    <t>找泰瑞尔接任务后激活，升完投石器之前对话</t>
    <phoneticPr fontId="7" type="noConversion"/>
  </si>
  <si>
    <t>找拉维尔中尉接任务后激活，军械库清场前对话</t>
    <phoneticPr fontId="7" type="noConversion"/>
  </si>
  <si>
    <t>俘获彼列的灵魂之后激活，第三章结束之前对话</t>
    <phoneticPr fontId="7" type="noConversion"/>
  </si>
  <si>
    <t>找莉亚接任务后激活，救出凯恩之前对话</t>
    <phoneticPr fontId="7" type="noConversion"/>
  </si>
  <si>
    <t>找凯恩接任务后激活，找回第一块碎片之前对话</t>
    <phoneticPr fontId="7" type="noConversion"/>
  </si>
  <si>
    <t>找莉亚接任务后激活，找回第二块碎片之前对话</t>
    <phoneticPr fontId="7" type="noConversion"/>
  </si>
  <si>
    <t>找莉亚接任务后激活，泰瑞尔恢复记忆之前对话</t>
    <phoneticPr fontId="7" type="noConversion"/>
  </si>
  <si>
    <t>找佐顿库勒接任务后，第三章结束前对话</t>
    <phoneticPr fontId="7" type="noConversion"/>
  </si>
  <si>
    <t>前往沃萨姆村之前对话</t>
  </si>
  <si>
    <t>找齐佐敦库勒的血液之前对话</t>
  </si>
  <si>
    <t>找莉亚接任务后激活，救回凯恩之前对话</t>
    <phoneticPr fontId="7" type="noConversion"/>
  </si>
  <si>
    <t>找莉亚接任务后激活，前往沃萨姆村之前对话</t>
    <phoneticPr fontId="7" type="noConversion"/>
  </si>
  <si>
    <t>需激活，第一章结束之前对话</t>
    <phoneticPr fontId="7" type="noConversion"/>
  </si>
  <si>
    <t>找莉亚接任务后激活，第一章结束之前对话</t>
    <phoneticPr fontId="7" type="noConversion"/>
  </si>
  <si>
    <t>找莉亚接任务后激活，找齐佐敦库勒的血液之前对话</t>
    <phoneticPr fontId="7" type="noConversion"/>
  </si>
  <si>
    <t>找泰瑞尔接任务后激活，击杀冈姆前对话</t>
    <phoneticPr fontId="7" type="noConversion"/>
  </si>
  <si>
    <t>找凯恩接任务后激活，找回第一块碎片之前对话</t>
    <phoneticPr fontId="7" type="noConversion"/>
  </si>
  <si>
    <t>找泰瑞尔接任务后激活，进入沃萨姆教堂地窖前对话</t>
    <phoneticPr fontId="7" type="noConversion"/>
  </si>
  <si>
    <t>找泰瑞尔接任务后激活，第一章结束前对话</t>
    <phoneticPr fontId="7" type="noConversion"/>
  </si>
  <si>
    <t>找莉亚接任务后激活，第二章结束之前对话</t>
    <phoneticPr fontId="7" type="noConversion"/>
  </si>
  <si>
    <t>找泰瑞尔接任务后对话，击杀阿兹莫丹之前对话</t>
    <phoneticPr fontId="7" type="noConversion"/>
  </si>
  <si>
    <t>找泰瑞尔接任务后对话，击杀阿兹莫丹之前对话</t>
    <phoneticPr fontId="7" type="noConversion"/>
  </si>
  <si>
    <t>找泰瑞尔接任务后激活，击杀阿兹莫丹之前对话</t>
    <phoneticPr fontId="7" type="noConversion"/>
  </si>
  <si>
    <t>找泰瑞尔接任务后激活，击杀阿兹莫丹之前对话</t>
    <phoneticPr fontId="7" type="noConversion"/>
  </si>
  <si>
    <t>去军械库找泰瑞尔对话，击杀阿兹莫丹之前对话</t>
    <phoneticPr fontId="7" type="noConversion"/>
  </si>
  <si>
    <t>找泰瑞尔接任务后激活，击杀伊斯卡图之前对话</t>
    <phoneticPr fontId="7" type="noConversion"/>
  </si>
  <si>
    <t>传送至天堂之巅找泰瑞尔对话，击杀迪亚波罗之前对话</t>
    <phoneticPr fontId="7" type="noConversion"/>
  </si>
  <si>
    <t>找莉亚接任务后激活，击杀佐敦库勒之前对话</t>
    <phoneticPr fontId="7" type="noConversion"/>
  </si>
  <si>
    <t>找泰瑞尔接任务后激活，击杀攻城破坏兽之前对话</t>
    <phoneticPr fontId="7" type="noConversion"/>
  </si>
  <si>
    <t>需在1-6-2激活，该对话1-8-1会消失，1-9-1重新出现。第一章结束之前对话</t>
    <phoneticPr fontId="7" type="noConversion"/>
  </si>
  <si>
    <t>在佐敦库勒秘库-中转所对话，击杀佐敦库勒之前对话</t>
    <phoneticPr fontId="7" type="noConversion"/>
  </si>
  <si>
    <t>找泰瑞尔接任务后对话，点完5处烽火之前对话</t>
    <phoneticPr fontId="7" type="noConversion"/>
  </si>
  <si>
    <t>林登的來歷</t>
    <phoneticPr fontId="7" type="noConversion"/>
  </si>
  <si>
    <t>國王港的戰鬥技巧</t>
    <phoneticPr fontId="7" type="noConversion"/>
  </si>
  <si>
    <t>順手牽羊</t>
    <phoneticPr fontId="7" type="noConversion"/>
  </si>
  <si>
    <t>人生的選擇</t>
    <phoneticPr fontId="7" type="noConversion"/>
  </si>
  <si>
    <t>兄長的命運</t>
    <phoneticPr fontId="7" type="noConversion"/>
  </si>
  <si>
    <t>初戀</t>
    <phoneticPr fontId="7" type="noConversion"/>
  </si>
  <si>
    <t>盜賊的財寶</t>
    <phoneticPr fontId="7" type="noConversion"/>
  </si>
  <si>
    <t>不樂觀的前景</t>
    <phoneticPr fontId="7" type="noConversion"/>
  </si>
  <si>
    <t>最後的贈禮</t>
    <phoneticPr fontId="7" type="noConversion"/>
  </si>
  <si>
    <t>艾蓮娜的旅途</t>
    <phoneticPr fontId="7" type="noConversion"/>
  </si>
  <si>
    <t>破碎的預言</t>
    <phoneticPr fontId="7" type="noConversion"/>
  </si>
  <si>
    <t>最初的記憶</t>
    <phoneticPr fontId="7" type="noConversion"/>
  </si>
  <si>
    <t>費斯傑利大法師</t>
    <phoneticPr fontId="7" type="noConversion"/>
  </si>
  <si>
    <t>神聖的誓約</t>
    <phoneticPr fontId="7" type="noConversion"/>
  </si>
  <si>
    <t>莉亞的命運</t>
    <phoneticPr fontId="7" type="noConversion"/>
  </si>
  <si>
    <t>神秘的遺產</t>
    <phoneticPr fontId="7" type="noConversion"/>
  </si>
  <si>
    <t>寇馬可的不安</t>
  </si>
  <si>
    <t>第五章</t>
    <phoneticPr fontId="7" type="noConversion"/>
  </si>
  <si>
    <t>不安</t>
  </si>
  <si>
    <t>借酒澆愁</t>
  </si>
  <si>
    <t>匕首裡的字條</t>
  </si>
  <si>
    <t>新的預言者</t>
  </si>
  <si>
    <t>找托里安将军接任务后激活</t>
    <phoneticPr fontId="7" type="noConversion"/>
  </si>
  <si>
    <t>生還者</t>
    <phoneticPr fontId="7" type="noConversion"/>
  </si>
  <si>
    <t>遺棄</t>
    <phoneticPr fontId="7" type="noConversion"/>
  </si>
  <si>
    <t>谈谈你自己</t>
    <phoneticPr fontId="20" type="noConversion"/>
  </si>
  <si>
    <t>惡魔法術</t>
    <phoneticPr fontId="7" type="noConversion"/>
  </si>
  <si>
    <t>厄傑爾的所在</t>
    <phoneticPr fontId="7" type="noConversion"/>
  </si>
  <si>
    <t>击杀厄傑爾前对话</t>
    <phoneticPr fontId="7" type="noConversion"/>
  </si>
  <si>
    <t>尋找愛德莉雅</t>
    <phoneticPr fontId="7" type="noConversion"/>
  </si>
  <si>
    <t>击杀愛德莉雅前对话</t>
    <phoneticPr fontId="7" type="noConversion"/>
  </si>
  <si>
    <t>烈焰侍女</t>
    <phoneticPr fontId="20" type="noConversion"/>
  </si>
  <si>
    <t>触发英普瑞斯剧情前对话</t>
    <phoneticPr fontId="7" type="noConversion"/>
  </si>
  <si>
    <t>进入永恒战场前对话</t>
    <phoneticPr fontId="7" type="noConversion"/>
  </si>
  <si>
    <t>传送至攻城哨站，进行攻城锤事件前对话</t>
    <phoneticPr fontId="7" type="noConversion"/>
  </si>
  <si>
    <t>传送至混沌界要塞第一層，击杀瑪瑟爾前对话</t>
    <phoneticPr fontId="7" type="noConversion"/>
  </si>
  <si>
    <t>传送至混沌界要塞第一層，找泰瑞尔接任务后触发</t>
    <phoneticPr fontId="7" type="noConversion"/>
  </si>
  <si>
    <t>第一章</t>
    <phoneticPr fontId="7" type="noConversion"/>
  </si>
  <si>
    <t>第二章</t>
    <phoneticPr fontId="7" type="noConversion"/>
  </si>
  <si>
    <t>第三章</t>
    <phoneticPr fontId="7" type="noConversion"/>
  </si>
  <si>
    <t>第四章</t>
    <phoneticPr fontId="7" type="noConversion"/>
  </si>
  <si>
    <t>找凯恩接任务后触发，修复王冠前对话</t>
    <phoneticPr fontId="7" type="noConversion"/>
  </si>
  <si>
    <t>击杀骷髅王前对话</t>
    <phoneticPr fontId="7" type="noConversion"/>
  </si>
  <si>
    <t>找回第二块碎片之前对话</t>
    <phoneticPr fontId="7" type="noConversion"/>
  </si>
  <si>
    <t>找泰瑞尔接任务后激活，进入凯恩的房间之前对话</t>
    <phoneticPr fontId="7" type="noConversion"/>
  </si>
  <si>
    <t>找莉亚接任务后激活，攻下李奥瑞克宅邸之前对话</t>
    <phoneticPr fontId="7" type="noConversion"/>
  </si>
  <si>
    <t>找莉亚接任务后触发，攻下李奥瑞克宅邸之前对话</t>
    <phoneticPr fontId="7" type="noConversion"/>
  </si>
  <si>
    <t>击杀屠夫前对话</t>
    <phoneticPr fontId="7" type="noConversion"/>
  </si>
  <si>
    <t>第一章结束前对话</t>
    <phoneticPr fontId="7" type="noConversion"/>
  </si>
  <si>
    <t>找莉亚接任务后激活，第三章结束前对话</t>
    <phoneticPr fontId="7" type="noConversion"/>
  </si>
  <si>
    <t>找莉亚接任务后激活，破坏邪教仪式前对话</t>
    <phoneticPr fontId="7" type="noConversion"/>
  </si>
  <si>
    <t>破坏邪教仪式前对话</t>
    <phoneticPr fontId="7" type="noConversion"/>
  </si>
  <si>
    <t>觐见哈坎大帝前对话</t>
    <phoneticPr fontId="7" type="noConversion"/>
  </si>
  <si>
    <t>集齐佐敦库勒秘庫钥匙前对话</t>
    <phoneticPr fontId="7" type="noConversion"/>
  </si>
  <si>
    <t>击杀佐敦库勒前对话</t>
    <phoneticPr fontId="7" type="noConversion"/>
  </si>
  <si>
    <t>第二章结束前对话</t>
    <phoneticPr fontId="7" type="noConversion"/>
  </si>
  <si>
    <t>找泰瑞尔接任务后激活，第二章结束前对话</t>
    <phoneticPr fontId="7" type="noConversion"/>
  </si>
  <si>
    <t>击杀彼列前对话</t>
    <phoneticPr fontId="7" type="noConversion"/>
  </si>
  <si>
    <t>第一、三、四、五章</t>
    <phoneticPr fontId="7" type="noConversion"/>
  </si>
  <si>
    <t>任意进度</t>
    <phoneticPr fontId="7" type="noConversion"/>
  </si>
  <si>
    <t>找士兵或泰瑞尔接任务后激活，击杀冈姆前对话</t>
    <phoneticPr fontId="7" type="noConversion"/>
  </si>
  <si>
    <t>击杀彼列后激活，第二章结束前对话</t>
    <phoneticPr fontId="7" type="noConversion"/>
  </si>
  <si>
    <t>第三章结束前对话</t>
    <phoneticPr fontId="7" type="noConversion"/>
  </si>
  <si>
    <t>找泰瑞尔接任务后激活，第三章结束前对话</t>
    <phoneticPr fontId="7" type="noConversion"/>
  </si>
  <si>
    <t>找士兵接任务后激活，第三章结束前对话</t>
    <phoneticPr fontId="7" type="noConversion"/>
  </si>
  <si>
    <t>第三章结束前对话</t>
    <phoneticPr fontId="7" type="noConversion"/>
  </si>
  <si>
    <t>击杀拉卡诺斯前对话</t>
    <phoneticPr fontId="7" type="noConversion"/>
  </si>
  <si>
    <t>第四章结束前对话</t>
  </si>
  <si>
    <t>第四章结束前对话</t>
    <phoneticPr fontId="7" type="noConversion"/>
  </si>
  <si>
    <t>击杀拉卡诺斯后激活，第四章结束前对话</t>
    <phoneticPr fontId="7" type="noConversion"/>
  </si>
  <si>
    <t>完成圣堂骑士的任务后激活</t>
    <phoneticPr fontId="7" type="noConversion"/>
  </si>
  <si>
    <t>團長</t>
    <phoneticPr fontId="7" type="noConversion"/>
  </si>
  <si>
    <t>騎士團的墮落</t>
    <phoneticPr fontId="7" type="noConversion"/>
  </si>
  <si>
    <t>未來</t>
    <phoneticPr fontId="7" type="noConversion"/>
  </si>
  <si>
    <t>和艾蓮娜聊聊</t>
    <phoneticPr fontId="7" type="noConversion"/>
  </si>
  <si>
    <t>與艾蓮娜的未來</t>
    <phoneticPr fontId="7" type="noConversion"/>
  </si>
  <si>
    <t>日漸增長的恐懼</t>
    <phoneticPr fontId="7" type="noConversion"/>
  </si>
  <si>
    <t>完成林登任务后激活</t>
    <phoneticPr fontId="7" type="noConversion"/>
  </si>
  <si>
    <t>偷來的人生</t>
    <phoneticPr fontId="7" type="noConversion"/>
  </si>
  <si>
    <t>幫林登的忙</t>
    <phoneticPr fontId="7" type="noConversion"/>
  </si>
  <si>
    <t>來自遠方的聲音</t>
    <phoneticPr fontId="7" type="noConversion"/>
  </si>
  <si>
    <t>麗莎</t>
    <phoneticPr fontId="7" type="noConversion"/>
  </si>
  <si>
    <t>完成沈老貪任务后激活</t>
    <phoneticPr fontId="7" type="noConversion"/>
  </si>
  <si>
    <t>心中的平靜</t>
    <phoneticPr fontId="7" type="noConversion"/>
  </si>
  <si>
    <t>☆数据暂缺☆</t>
    <phoneticPr fontId="20" type="noConversion"/>
  </si>
  <si>
    <t>☆数据暂缺☆</t>
    <phoneticPr fontId="20" type="noConversion"/>
  </si>
  <si>
    <t>☆数据暂缺☆</t>
    <phoneticPr fontId="20" type="noConversion"/>
  </si>
  <si>
    <t>圣堂骑士</t>
    <phoneticPr fontId="20" type="noConversion"/>
  </si>
  <si>
    <r>
      <t>A</t>
    </r>
    <r>
      <rPr>
        <sz val="10"/>
        <rFont val="宋体"/>
        <family val="3"/>
        <charset val="134"/>
      </rPr>
      <t>1</t>
    </r>
    <phoneticPr fontId="20" type="noConversion"/>
  </si>
  <si>
    <r>
      <t>A</t>
    </r>
    <r>
      <rPr>
        <sz val="10"/>
        <rFont val="宋体"/>
        <family val="3"/>
        <charset val="134"/>
      </rPr>
      <t>2</t>
    </r>
    <phoneticPr fontId="20" type="noConversion"/>
  </si>
  <si>
    <r>
      <t>A</t>
    </r>
    <r>
      <rPr>
        <sz val="10"/>
        <rFont val="宋体"/>
        <family val="3"/>
        <charset val="134"/>
      </rPr>
      <t>3</t>
    </r>
    <phoneticPr fontId="20" type="noConversion"/>
  </si>
  <si>
    <r>
      <t>A</t>
    </r>
    <r>
      <rPr>
        <sz val="10"/>
        <rFont val="宋体"/>
        <family val="3"/>
        <charset val="134"/>
      </rPr>
      <t>4</t>
    </r>
    <phoneticPr fontId="20" type="noConversion"/>
  </si>
  <si>
    <r>
      <t>A</t>
    </r>
    <r>
      <rPr>
        <sz val="10"/>
        <rFont val="宋体"/>
        <family val="3"/>
        <charset val="134"/>
      </rPr>
      <t>5</t>
    </r>
    <phoneticPr fontId="20" type="noConversion"/>
  </si>
  <si>
    <t>盗贼</t>
    <phoneticPr fontId="20" type="noConversion"/>
  </si>
  <si>
    <t>A1</t>
    <phoneticPr fontId="20" type="noConversion"/>
  </si>
  <si>
    <t>巫女</t>
    <phoneticPr fontId="20" type="noConversion"/>
  </si>
  <si>
    <t>名称</t>
    <phoneticPr fontId="34" type="noConversion"/>
  </si>
  <si>
    <t>地点</t>
    <phoneticPr fontId="34" type="noConversion"/>
  </si>
  <si>
    <t>获取源</t>
    <phoneticPr fontId="34" type="noConversion"/>
  </si>
  <si>
    <t>备注</t>
    <phoneticPr fontId="34" type="noConversion"/>
  </si>
  <si>
    <t>[固定出现][任务]3-5-1</t>
    <phoneticPr fontId="34" type="noConversion"/>
  </si>
  <si>
    <r>
      <rPr>
        <b/>
        <sz val="10"/>
        <color indexed="9"/>
        <rFont val="微软雅黑"/>
        <family val="2"/>
        <charset val="134"/>
      </rPr>
      <t>场景</t>
    </r>
    <phoneticPr fontId="7" type="noConversion"/>
  </si>
  <si>
    <r>
      <t>怪物种</t>
    </r>
    <r>
      <rPr>
        <b/>
        <sz val="9"/>
        <color indexed="9"/>
        <rFont val="微软雅黑"/>
        <family val="2"/>
        <charset val="134"/>
      </rPr>
      <t>类</t>
    </r>
    <phoneticPr fontId="7" type="noConversion"/>
  </si>
  <si>
    <r>
      <rPr>
        <b/>
        <sz val="9"/>
        <color indexed="9"/>
        <rFont val="微软雅黑"/>
        <family val="2"/>
        <charset val="134"/>
      </rPr>
      <t>备注</t>
    </r>
  </si>
  <si>
    <r>
      <t>其他成就相</t>
    </r>
    <r>
      <rPr>
        <b/>
        <sz val="16"/>
        <color indexed="56"/>
        <rFont val="微软雅黑"/>
        <family val="2"/>
        <charset val="134"/>
      </rPr>
      <t>关紫怪</t>
    </r>
    <phoneticPr fontId="7" type="noConversion"/>
  </si>
  <si>
    <r>
      <rPr>
        <b/>
        <sz val="10"/>
        <color indexed="9"/>
        <rFont val="微软雅黑"/>
        <family val="2"/>
        <charset val="134"/>
      </rPr>
      <t>场景</t>
    </r>
    <phoneticPr fontId="7" type="noConversion"/>
  </si>
  <si>
    <r>
      <t>怪物种</t>
    </r>
    <r>
      <rPr>
        <b/>
        <sz val="9"/>
        <color indexed="9"/>
        <rFont val="微软雅黑"/>
        <family val="2"/>
        <charset val="134"/>
      </rPr>
      <t>类</t>
    </r>
    <phoneticPr fontId="7" type="noConversion"/>
  </si>
  <si>
    <t>简体中文</t>
  </si>
  <si>
    <t>完成[随机事件]"愚者之王"后获得</t>
    <phoneticPr fontId="7" type="noConversion"/>
  </si>
  <si>
    <t>疯狂之屋位于威斯特玛上城区，击杀屋内的独特怪物后获得</t>
    <phoneticPr fontId="7" type="noConversion"/>
  </si>
  <si>
    <t>深悲之屋位于威斯特玛城中区，击杀击杀屋内的独特怪物后获得</t>
    <phoneticPr fontId="7" type="noConversion"/>
  </si>
  <si>
    <t>[固定出现]圣殿骑士团秘密据点进入方法：[任务]5-3-1与柯麦克触发对话"大团长"后出现对话"圣殿骑士的任务"可进行追随者事件"圣殿骑士的清算"。任务过程中与圣殿骑士对话后获得。注意，追随者事件每次重置任务只能完成一次。</t>
    <phoneticPr fontId="7" type="noConversion"/>
  </si>
  <si>
    <t>[固定出现][固定位置][剧情模式]城中区的位于传送点附近，基甸街位于入口和出口附近。一次可以拿齐三本</t>
    <phoneticPr fontId="7" type="noConversion"/>
  </si>
  <si>
    <t>遇袭的宅邸位于威斯特玛城中区。完成[随机事件]"农民造反"后获得</t>
    <phoneticPr fontId="7" type="noConversion"/>
  </si>
  <si>
    <t>克里夫顿大厅位于威斯特玛上城区，完成[随机事件]"狼王真子"后获得</t>
    <phoneticPr fontId="7" type="noConversion"/>
  </si>
  <si>
    <t>怀顿庭院位于威斯特玛城中区，完成[随机事件]"贵族之死"后获得</t>
    <phoneticPr fontId="7" type="noConversion"/>
  </si>
  <si>
    <t>[固定出现]血沼泽出现的爱德莉雅背袋的数量比溺水沼泽沼泽更加多</t>
    <phoneticPr fontId="7" type="noConversion"/>
  </si>
  <si>
    <t>[固定出现]背袋型可点击物品。正确与错误的入口都一定会有1~2个"拉基思的日志"</t>
    <phoneticPr fontId="7" type="noConversion"/>
  </si>
  <si>
    <t>[固定出现]书籍型可点击物品。伊纳瑞斯的证言与莉莉丝的记事会交替出现</t>
    <phoneticPr fontId="7" type="noConversion"/>
  </si>
  <si>
    <t>[固定出现]人形尸体</t>
    <phoneticPr fontId="7" type="noConversion"/>
  </si>
  <si>
    <t>"预言者巢穴第一层"进入方法：[任务]5-6-1与艾雷娜触发对话"混沌界"后刻进行追随者事件"姐妹之音"。注意，追随者事件每次重置任务只能完成一次。</t>
    <phoneticPr fontId="7" type="noConversion"/>
  </si>
  <si>
    <t>错误的往科乌斯之路才会出现。进入后会触发[随机事件]"最后一位先祖"。地图角落处会有"古老的背袋"</t>
    <phoneticPr fontId="7" type="noConversion"/>
  </si>
  <si>
    <t>完成[随机事件]"灭魂仪"后获得</t>
    <phoneticPr fontId="7" type="noConversion"/>
  </si>
  <si>
    <t>[固定出现][任务]5-6-2，向泰瑞尔接取任务后获得</t>
    <phoneticPr fontId="7" type="noConversion"/>
  </si>
  <si>
    <t>圣殿骑士团秘密据点进入方法：[固定出现][任务]5-3-1与柯麦克触发对话"大团长"后出现对话"圣殿骑士的任务"可进行追随者事件"圣殿骑士的清算",小包在大团长走开的门前</t>
    <phoneticPr fontId="7" type="noConversion"/>
  </si>
  <si>
    <t>守财奴的陋屋位于卫斯马屈城中，进门后会触发[随机事件]守财奴的遗嘱。注意是位于门口附近的背袋尔不是台阶上的"守财奴葛泽科的尸体"</t>
    <phoneticPr fontId="7" type="noConversion"/>
  </si>
  <si>
    <t>[固定出现][任务]5-1-2，击杀"卡萨蒂雅"后获得</t>
    <phoneticPr fontId="7" type="noConversion"/>
  </si>
  <si>
    <t>[随机事件]"闲庭信步"开始后，点击区域中央的"精美的宝箱"后获得。注意：书籍的名字叫做"这是个陷阱"，而不是厄兹尔的陷阱</t>
    <phoneticPr fontId="7" type="noConversion"/>
  </si>
  <si>
    <t>[固定出现][任务]5-4-4击杀爱德莉雅后获得</t>
    <phoneticPr fontId="7" type="noConversion"/>
  </si>
  <si>
    <t>[固定出现]书籍型可点击物品</t>
    <phoneticPr fontId="7" type="noConversion"/>
  </si>
  <si>
    <t>[任务]5-2-1时前去点击</t>
    <phoneticPr fontId="7" type="noConversion"/>
  </si>
  <si>
    <t>[任务]5-2-4时前去点击</t>
    <phoneticPr fontId="7" type="noConversion"/>
  </si>
  <si>
    <t>[任务]5-3-1时前去点击</t>
    <phoneticPr fontId="7" type="noConversion"/>
  </si>
  <si>
    <t>[任务]5-4-1时前去点击</t>
    <phoneticPr fontId="7" type="noConversion"/>
  </si>
  <si>
    <t>[任务]5-6-1时前去点击</t>
    <phoneticPr fontId="7" type="noConversion"/>
  </si>
  <si>
    <t>[任务]5-7-1时前去点击</t>
    <phoneticPr fontId="7" type="noConversion"/>
  </si>
  <si>
    <t>[固定位置][剧情模式]背袋型可点击物品，位于快下到二层的门口</t>
    <phoneticPr fontId="7" type="noConversion"/>
  </si>
  <si>
    <t>[固定出现]有时一张图会出现多个天使卷轴，如想快速获取满，请找个基友进房间，通过反复进出房间的方式完成获取</t>
    <phoneticPr fontId="7" type="noConversion"/>
  </si>
  <si>
    <t>[非固定出现]蝙蝠怪尸体型可点击物品，出现机率极低。每次只出现一个，如想快速获取满，请找个基友进房间，通过反复进出房间的方式完成获取</t>
    <phoneticPr fontId="7" type="noConversion"/>
  </si>
  <si>
    <t>角色第一次进入涅法雷姆的秘境并击杀秘境BOSS后掉落</t>
    <phoneticPr fontId="7" type="noConversion"/>
  </si>
  <si>
    <t>[剧情模式]说明必须要在剧情模式下才会出现</t>
    <phoneticPr fontId="7" type="noConversion"/>
  </si>
  <si>
    <t>[冒险模式]说明必须要在冒险模式下才会出现</t>
    <phoneticPr fontId="7" type="noConversion"/>
  </si>
  <si>
    <t>[悬赏任务]悲惨之原中心位置，会有很大的农场，中间有4个蝙蝠巢</t>
    <phoneticPr fontId="46" type="noConversion"/>
  </si>
  <si>
    <t>[悬赏任务]进入腐溃之林后请调查山坡上的“纪念石"后触发</t>
    <phoneticPr fontId="46" type="noConversion"/>
  </si>
  <si>
    <t>[悬赏任务]荒弃墓园三个墓穴中除了任务剧情的那个中随机出现</t>
    <phoneticPr fontId="46" type="noConversion"/>
  </si>
  <si>
    <t>[悬赏任务]调查“涅法雷姆纪念碑”后触发</t>
    <phoneticPr fontId="46" type="noConversion"/>
  </si>
  <si>
    <t>[悬赏任务]地图右上角</t>
    <phoneticPr fontId="46" type="noConversion"/>
  </si>
  <si>
    <t>[悬赏任务]沙漠中心位置，你会看到一个死灵法师</t>
    <phoneticPr fontId="46" type="noConversion"/>
  </si>
  <si>
    <t>[悬赏任务]</t>
    <phoneticPr fontId="46" type="noConversion"/>
  </si>
  <si>
    <t>[悬赏任务][固定位置]地图中部，这里会刷一个升降机上的华丽箱子，有可能没有事件由玩家自己拉上来，有可能发生矿工的金币事件由矿工拉上来</t>
    <phoneticPr fontId="46" type="noConversion"/>
  </si>
  <si>
    <t>[悬赏任务]NPC就站在门口，地图中下</t>
    <phoneticPr fontId="46" type="noConversion"/>
  </si>
  <si>
    <t>[悬赏任务]可能只出现一个人而不能触发任务</t>
    <phoneticPr fontId="46" type="noConversion"/>
  </si>
  <si>
    <t>[悬赏任务]地图上下部的正中位置都会出现</t>
    <phoneticPr fontId="46" type="noConversion"/>
  </si>
  <si>
    <t>[悬赏任务]墓穴的门需开启机关才会出现</t>
    <phoneticPr fontId="46" type="noConversion"/>
  </si>
  <si>
    <t>[悬赏任务][固定出现]二层一进入就可以看到</t>
    <phoneticPr fontId="46" type="noConversion"/>
  </si>
  <si>
    <t>[悬赏任务]与铁匠梅多纳多对话，很明显，他站的地方是唯一有岩浆的地方</t>
    <phoneticPr fontId="46" type="noConversion"/>
  </si>
  <si>
    <t>等待支持</t>
  </si>
  <si>
    <t>[悬赏任务]地图左右都会出现</t>
    <phoneticPr fontId="46" type="noConversion"/>
  </si>
  <si>
    <t>[悬赏任务]</t>
    <phoneticPr fontId="46" type="noConversion"/>
  </si>
  <si>
    <t>[悬赏任务]说明该事件可透过悬赏任务目标搜寻</t>
    <phoneticPr fontId="7" type="noConversion"/>
  </si>
  <si>
    <t>[剧情模式]说明必须要在剧情模式下才会出现</t>
    <phoneticPr fontId="7" type="noConversion"/>
  </si>
  <si>
    <t>[冒险模式]说明必须要在冒险模式下才会出现</t>
    <phoneticPr fontId="7" type="noConversion"/>
  </si>
  <si>
    <t>[悬赏任务]</t>
    <phoneticPr fontId="7" type="noConversion"/>
  </si>
  <si>
    <t>[悬赏任务]注意门口附近有"守财奴的背袋"可以获得书籍"守财奴的遗嘱"</t>
    <phoneticPr fontId="7" type="noConversion"/>
  </si>
  <si>
    <t>血沼泽也会出现</t>
    <phoneticPr fontId="7" type="noConversion"/>
  </si>
  <si>
    <t>[悬赏任务]小型草屋型区块</t>
    <phoneticPr fontId="7" type="noConversion"/>
  </si>
  <si>
    <t>[固定出现]</t>
    <phoneticPr fontId="7" type="noConversion"/>
  </si>
  <si>
    <t>名称</t>
    <phoneticPr fontId="7" type="noConversion"/>
  </si>
  <si>
    <t>备注</t>
    <phoneticPr fontId="7" type="noConversion"/>
  </si>
  <si>
    <t>诅咒宝箱事件</t>
    <phoneticPr fontId="7" type="noConversion"/>
  </si>
  <si>
    <t>恶魔之魂</t>
  </si>
  <si>
    <t>永恒战场地下城"失落军团藏身处"出现的[随机事件]"失落的军团"不能获得成就，必须要在混沌要塞第二层。繁体中文客户端翻译问题，英文客户端要求的的事 件"Lost Host"，而永恒战场的事件名称是"The Lost Legion"。虽然意义很接近，但不是同一个事件，台湾的翻译太不负责了</t>
    <phoneticPr fontId="7" type="noConversion"/>
  </si>
  <si>
    <t>[悬赏任务]说明该事件可透过悬赏任务目标搜寻</t>
    <phoneticPr fontId="7" type="noConversion"/>
  </si>
  <si>
    <t>[剧情模式]说明必须要在剧情模式下才会出现</t>
    <phoneticPr fontId="7" type="noConversion"/>
  </si>
  <si>
    <t>[悬赏任务]事件触发物是花园中间的"精美的宝箱"，点击后掉落书籍"这是个陷阱"(即成就中的"厄兹尔的陷阱")。</t>
    <phoneticPr fontId="7" type="noConversion"/>
  </si>
  <si>
    <t>只有错误的"往科乌斯之路"才会出现</t>
    <phoneticPr fontId="7" type="noConversion"/>
  </si>
  <si>
    <t>為了騎士團</t>
    <phoneticPr fontId="20" type="noConversion"/>
  </si>
  <si>
    <t>做賊的喊抓賊</t>
    <phoneticPr fontId="20" type="noConversion"/>
  </si>
  <si>
    <t>世紀之謎</t>
    <phoneticPr fontId="20" type="noConversion"/>
  </si>
  <si>
    <t>海德格煩得很</t>
    <phoneticPr fontId="20" type="noConversion"/>
  </si>
  <si>
    <t>大家都愛沈老貪</t>
    <phoneticPr fontId="20" type="noConversion"/>
  </si>
  <si>
    <t>請留步，聽我說個故事</t>
    <phoneticPr fontId="20" type="noConversion"/>
  </si>
  <si>
    <t>不只是故事</t>
    <phoneticPr fontId="20" type="noConversion"/>
  </si>
  <si>
    <t>只能靠我們了</t>
    <phoneticPr fontId="20" type="noConversion"/>
  </si>
  <si>
    <t>巫迷心竅</t>
    <phoneticPr fontId="20" type="noConversion"/>
  </si>
  <si>
    <t>智慧雋語</t>
    <phoneticPr fontId="20" type="noConversion"/>
  </si>
  <si>
    <t>見多識廣的羅拉斯</t>
    <phoneticPr fontId="20" type="noConversion"/>
  </si>
  <si>
    <t>將軍有令</t>
    <phoneticPr fontId="20" type="noConversion"/>
  </si>
  <si>
    <t>大義滅團</t>
    <phoneticPr fontId="20" type="noConversion"/>
  </si>
  <si>
    <t>哥哥的守護者</t>
    <phoneticPr fontId="20" type="noConversion"/>
  </si>
  <si>
    <t>女人心事</t>
    <phoneticPr fontId="20" type="noConversion"/>
  </si>
  <si>
    <t>打鐵趁熱</t>
    <phoneticPr fontId="20" type="noConversion"/>
  </si>
  <si>
    <t>一晌「貪」歡</t>
    <phoneticPr fontId="20" type="noConversion"/>
  </si>
  <si>
    <t>維欽人碎碎念</t>
    <phoneticPr fontId="20" type="noConversion"/>
  </si>
  <si>
    <t>词条</t>
    <phoneticPr fontId="20" type="noConversion"/>
  </si>
  <si>
    <t>成就名</t>
    <phoneticPr fontId="20" type="noConversion"/>
  </si>
  <si>
    <t>全章节</t>
    <phoneticPr fontId="20" type="noConversion"/>
  </si>
  <si>
    <t>成为圣殿骑士</t>
    <phoneticPr fontId="20" type="noConversion"/>
  </si>
  <si>
    <t>罪行</t>
    <phoneticPr fontId="20" type="noConversion"/>
  </si>
  <si>
    <t>入教仪式</t>
    <phoneticPr fontId="20" type="noConversion"/>
  </si>
  <si>
    <t>教训</t>
    <phoneticPr fontId="20" type="noConversion"/>
  </si>
  <si>
    <t>寻找真相</t>
    <phoneticPr fontId="20" type="noConversion"/>
  </si>
  <si>
    <t>危险的日志</t>
    <phoneticPr fontId="20" type="noConversion"/>
  </si>
  <si>
    <t>直面恐惧</t>
    <phoneticPr fontId="20" type="noConversion"/>
  </si>
  <si>
    <t>过往显现</t>
    <phoneticPr fontId="20" type="noConversion"/>
  </si>
  <si>
    <t>撕下的书页</t>
    <phoneticPr fontId="20" type="noConversion"/>
  </si>
  <si>
    <t>圣殿骑士的探索</t>
    <phoneticPr fontId="20" type="noConversion"/>
  </si>
  <si>
    <t>真相</t>
    <phoneticPr fontId="20" type="noConversion"/>
  </si>
  <si>
    <t>盛典的秘密</t>
    <phoneticPr fontId="20" type="noConversion"/>
  </si>
  <si>
    <t>圣殿骑士的感受</t>
    <phoneticPr fontId="20" type="noConversion"/>
  </si>
  <si>
    <t>艾德莉亚的背叛</t>
    <phoneticPr fontId="20" type="noConversion"/>
  </si>
  <si>
    <t>巫师会的阴影</t>
    <phoneticPr fontId="20" type="noConversion"/>
  </si>
  <si>
    <t>柯麦克的心结</t>
    <phoneticPr fontId="20" type="noConversion"/>
  </si>
  <si>
    <t>大团长</t>
    <phoneticPr fontId="20" type="noConversion"/>
  </si>
  <si>
    <t>骑士团的堕落</t>
    <phoneticPr fontId="20" type="noConversion"/>
  </si>
  <si>
    <t>心平气和</t>
    <phoneticPr fontId="20" type="noConversion"/>
  </si>
  <si>
    <t>未来</t>
    <phoneticPr fontId="20" type="noConversion"/>
  </si>
  <si>
    <t>和艾蕾娜聊聊</t>
    <phoneticPr fontId="20" type="noConversion"/>
  </si>
  <si>
    <t>与艾蕾娜的未来</t>
    <phoneticPr fontId="20" type="noConversion"/>
  </si>
  <si>
    <t>林登的过去</t>
    <phoneticPr fontId="20" type="noConversion"/>
  </si>
  <si>
    <t>死性不改</t>
    <phoneticPr fontId="20" type="noConversion"/>
  </si>
  <si>
    <t>国王港的战斗</t>
    <phoneticPr fontId="20" type="noConversion"/>
  </si>
  <si>
    <t>痞子的诞生</t>
    <phoneticPr fontId="20" type="noConversion"/>
  </si>
  <si>
    <t>艰难的决定</t>
    <phoneticPr fontId="20" type="noConversion"/>
  </si>
  <si>
    <t>血脉相连</t>
    <phoneticPr fontId="20" type="noConversion"/>
  </si>
  <si>
    <t>兄弟陌路</t>
    <phoneticPr fontId="20" type="noConversion"/>
  </si>
  <si>
    <t>守卫的命运</t>
    <phoneticPr fontId="20" type="noConversion"/>
  </si>
  <si>
    <t>初恋</t>
    <phoneticPr fontId="20" type="noConversion"/>
  </si>
  <si>
    <t>手足情深</t>
    <phoneticPr fontId="20" type="noConversion"/>
  </si>
  <si>
    <t>痞子的财产</t>
    <phoneticPr fontId="20" type="noConversion"/>
  </si>
  <si>
    <t>灰暗的前景</t>
    <phoneticPr fontId="20" type="noConversion"/>
  </si>
  <si>
    <t>不光彩的秘密</t>
    <phoneticPr fontId="20" type="noConversion"/>
  </si>
  <si>
    <t>失散的家人</t>
    <phoneticPr fontId="20" type="noConversion"/>
  </si>
  <si>
    <t>最后的礼物</t>
    <phoneticPr fontId="20" type="noConversion"/>
  </si>
  <si>
    <t>恐惧渐生</t>
    <phoneticPr fontId="20" type="noConversion"/>
  </si>
  <si>
    <t>心事重重</t>
    <phoneticPr fontId="20" type="noConversion"/>
  </si>
  <si>
    <t>“借”来的一生</t>
    <phoneticPr fontId="20" type="noConversion"/>
  </si>
  <si>
    <t>借酒消愁</t>
    <phoneticPr fontId="20" type="noConversion"/>
  </si>
  <si>
    <t>艾蕾娜的旅途</t>
    <phoneticPr fontId="20" type="noConversion"/>
  </si>
  <si>
    <t>被遗忘的时代</t>
    <phoneticPr fontId="20" type="noConversion"/>
  </si>
  <si>
    <t>出乎预料</t>
    <phoneticPr fontId="20" type="noConversion"/>
  </si>
  <si>
    <t>失落的碎片</t>
    <phoneticPr fontId="20" type="noConversion"/>
  </si>
  <si>
    <t>破碎的预言</t>
    <phoneticPr fontId="20" type="noConversion"/>
  </si>
  <si>
    <t>古老的秘密</t>
    <phoneticPr fontId="20" type="noConversion"/>
  </si>
  <si>
    <t>最初的记忆</t>
    <phoneticPr fontId="20" type="noConversion"/>
  </si>
  <si>
    <t>维兹杰雷领主</t>
    <phoneticPr fontId="20" type="noConversion"/>
  </si>
  <si>
    <t>神圣的契约</t>
    <phoneticPr fontId="20" type="noConversion"/>
  </si>
  <si>
    <t>莉娅的命运</t>
    <phoneticPr fontId="20" type="noConversion"/>
  </si>
  <si>
    <t>失去的朋友</t>
    <phoneticPr fontId="20" type="noConversion"/>
  </si>
  <si>
    <t>濒死的天使</t>
    <phoneticPr fontId="20" type="noConversion"/>
  </si>
  <si>
    <t>隐秘的传奇</t>
    <phoneticPr fontId="20" type="noConversion"/>
  </si>
  <si>
    <t>幸存者</t>
    <phoneticPr fontId="20" type="noConversion"/>
  </si>
  <si>
    <t>被弃者</t>
    <phoneticPr fontId="20" type="noConversion"/>
  </si>
  <si>
    <t>恶魔魔法</t>
    <phoneticPr fontId="20" type="noConversion"/>
  </si>
  <si>
    <t>远方之音</t>
    <phoneticPr fontId="20" type="noConversion"/>
  </si>
  <si>
    <t>混沌界</t>
    <phoneticPr fontId="20" type="noConversion"/>
  </si>
  <si>
    <t>莱萨</t>
    <phoneticPr fontId="20" type="noConversion"/>
  </si>
  <si>
    <t>新的先知</t>
    <phoneticPr fontId="20" type="noConversion"/>
  </si>
  <si>
    <t>为了骑士团</t>
    <phoneticPr fontId="20" type="noConversion"/>
  </si>
  <si>
    <t>贼言贼语</t>
    <phoneticPr fontId="20" type="noConversion"/>
  </si>
  <si>
    <t>世代的秘密</t>
    <phoneticPr fontId="20" type="noConversion"/>
  </si>
  <si>
    <t>喋喋不休的黒德里格</t>
    <phoneticPr fontId="20" type="noConversion"/>
  </si>
  <si>
    <t>人人都爱沈老贪</t>
    <phoneticPr fontId="20" type="noConversion"/>
  </si>
  <si>
    <t>英雄请留步，且听我一言</t>
    <phoneticPr fontId="20" type="noConversion"/>
  </si>
  <si>
    <t>不止是故事</t>
    <phoneticPr fontId="20" type="noConversion"/>
  </si>
  <si>
    <t>只能靠我们了</t>
    <phoneticPr fontId="20" type="noConversion"/>
  </si>
  <si>
    <t>巫言碎语</t>
    <phoneticPr fontId="20" type="noConversion"/>
  </si>
  <si>
    <t>智慧之言</t>
    <phoneticPr fontId="20" type="noConversion"/>
  </si>
  <si>
    <t>老万的传说</t>
    <phoneticPr fontId="20" type="noConversion"/>
  </si>
  <si>
    <t>将军有令</t>
    <phoneticPr fontId="20" type="noConversion"/>
  </si>
  <si>
    <t>大义灭团</t>
    <phoneticPr fontId="20" type="noConversion"/>
  </si>
  <si>
    <t>哥哥的守护者</t>
    <phoneticPr fontId="20" type="noConversion"/>
  </si>
  <si>
    <t>女人心事</t>
    <phoneticPr fontId="20" type="noConversion"/>
  </si>
  <si>
    <t>锤铸新生</t>
    <phoneticPr fontId="20" type="noConversion"/>
  </si>
  <si>
    <t>沈言神语</t>
    <phoneticPr fontId="20" type="noConversion"/>
  </si>
  <si>
    <t>维辛人的虽言碎语</t>
    <phoneticPr fontId="20" type="noConversion"/>
  </si>
  <si>
    <t>陨星</t>
    <phoneticPr fontId="20" type="noConversion"/>
  </si>
  <si>
    <t>凯恩的遗踪</t>
    <phoneticPr fontId="20" type="noConversion"/>
  </si>
  <si>
    <t>破损的王冠</t>
    <phoneticPr fontId="20" type="noConversion"/>
  </si>
  <si>
    <t>被囚禁的天使</t>
  </si>
  <si>
    <t>返回新崔斯特姆</t>
  </si>
  <si>
    <t>返回新崔斯特姆</t>
    <phoneticPr fontId="20" type="noConversion"/>
  </si>
  <si>
    <t>沙漠魅影</t>
    <phoneticPr fontId="20" type="noConversion"/>
  </si>
  <si>
    <t>通往阿尔阿纳斯之路</t>
    <phoneticPr fontId="20" type="noConversion"/>
  </si>
  <si>
    <t>鲜血之城</t>
    <phoneticPr fontId="20" type="noConversion"/>
  </si>
  <si>
    <t>皇室觐见</t>
    <phoneticPr fontId="20" type="noConversion"/>
  </si>
  <si>
    <t>命运之交</t>
    <phoneticPr fontId="20" type="noConversion"/>
  </si>
  <si>
    <t>赫拉迪姆背叛者</t>
    <phoneticPr fontId="20" type="noConversion"/>
  </si>
  <si>
    <t>血染黄沙</t>
    <phoneticPr fontId="20" type="noConversion"/>
  </si>
  <si>
    <t>黑暗灵魂石</t>
    <phoneticPr fontId="20" type="noConversion"/>
  </si>
  <si>
    <t>谎言之王</t>
    <phoneticPr fontId="20" type="noConversion"/>
  </si>
  <si>
    <t>要塞围攻</t>
    <phoneticPr fontId="20" type="noConversion"/>
  </si>
  <si>
    <t>力挽狂澜</t>
    <phoneticPr fontId="20" type="noConversion"/>
  </si>
  <si>
    <t>灵魂石中的响动</t>
    <phoneticPr fontId="20" type="noConversion"/>
  </si>
  <si>
    <t>攻城兽</t>
    <phoneticPr fontId="20" type="noConversion"/>
  </si>
  <si>
    <t>罪恶之心</t>
    <phoneticPr fontId="20" type="noConversion"/>
  </si>
  <si>
    <t>高阶天堂的陨落</t>
    <phoneticPr fontId="20" type="noConversion"/>
  </si>
  <si>
    <t>希望之光</t>
  </si>
  <si>
    <t>希望之光</t>
    <phoneticPr fontId="20" type="noConversion"/>
  </si>
  <si>
    <t>高塔之下</t>
    <phoneticPr fontId="20" type="noConversion"/>
  </si>
  <si>
    <t>大魔神</t>
    <phoneticPr fontId="20" type="noConversion"/>
  </si>
  <si>
    <t>☆数据暂缺☆</t>
    <phoneticPr fontId="20" type="noConversion"/>
  </si>
  <si>
    <t>进度名</t>
    <phoneticPr fontId="20" type="noConversion"/>
  </si>
  <si>
    <t>A4</t>
    <phoneticPr fontId="20" type="noConversion"/>
  </si>
  <si>
    <t>A5</t>
    <phoneticPr fontId="20" type="noConversion"/>
  </si>
  <si>
    <t>隕星</t>
  </si>
  <si>
    <t>破碎的異世之劍</t>
  </si>
  <si>
    <t>追尋真神教</t>
  </si>
  <si>
    <t>沙漠之影</t>
  </si>
  <si>
    <t>往奧卡納斯的道路</t>
  </si>
  <si>
    <t>皇室覲見</t>
  </si>
  <si>
    <t>戍衛要塞圍困</t>
  </si>
  <si>
    <t>扭轉戰況</t>
  </si>
  <si>
    <t>罪惡之核</t>
  </si>
  <si>
    <t>攻城器械</t>
  </si>
  <si>
    <t>至高天的隕落</t>
  </si>
  <si>
    <t>沃薩姆的浩劫</t>
  </si>
  <si>
    <t>血之城</t>
  </si>
  <si>
    <t>意外的盟友</t>
  </si>
  <si>
    <t>血染黃沙</t>
  </si>
  <si>
    <t>靈魂石的震顫</t>
  </si>
  <si>
    <t>尖塔之下</t>
  </si>
  <si>
    <t>破碎的王冠</t>
  </si>
  <si>
    <t>凱恩生死之謎</t>
  </si>
  <si>
    <t>黑狂君的統治</t>
  </si>
  <si>
    <t>赫拉迪姆的背叛者</t>
  </si>
  <si>
    <t>攻城破壞獸</t>
  </si>
  <si>
    <t>異世之劍</t>
  </si>
  <si>
    <t>肅清卡爾蒂姆</t>
  </si>
  <si>
    <t>要塞缺口</t>
  </si>
  <si>
    <t>女巫</t>
  </si>
  <si>
    <t>死亡使者</t>
  </si>
  <si>
    <t>攻城要塞</t>
  </si>
  <si>
    <t>歿天使</t>
  </si>
  <si>
    <t>混沌界之門</t>
  </si>
  <si>
    <t>A1</t>
    <phoneticPr fontId="20" type="noConversion"/>
  </si>
  <si>
    <r>
      <t>", Data!$B:$D,</t>
    </r>
    <r>
      <rPr>
        <sz val="11"/>
        <color theme="1"/>
        <rFont val="宋体"/>
        <family val="3"/>
        <charset val="134"/>
        <scheme val="minor"/>
      </rPr>
      <t>F</t>
    </r>
    <r>
      <rPr>
        <sz val="11"/>
        <color indexed="8"/>
        <rFont val="宋体"/>
        <family val="3"/>
        <charset val="134"/>
      </rPr>
      <t>1, FALSE)</t>
    </r>
    <r>
      <rPr>
        <sz val="11"/>
        <color theme="1"/>
        <rFont val="宋体"/>
        <family val="2"/>
        <charset val="134"/>
        <scheme val="minor"/>
      </rPr>
      <t/>
    </r>
  </si>
  <si>
    <t>一把匕首的故事</t>
    <phoneticPr fontId="20" type="noConversion"/>
  </si>
  <si>
    <t>帮林登的忙</t>
    <phoneticPr fontId="20" type="noConversion"/>
  </si>
  <si>
    <t>衛斯馬屈的淪陷</t>
    <phoneticPr fontId="20" type="noConversion"/>
  </si>
  <si>
    <t>亡者之魂</t>
    <phoneticPr fontId="20" type="noConversion"/>
  </si>
  <si>
    <t>威斯特玛的沦陷</t>
    <phoneticPr fontId="20" type="noConversion"/>
  </si>
  <si>
    <t>亡者之魂</t>
    <phoneticPr fontId="20" type="noConversion"/>
  </si>
  <si>
    <t>死亡使者</t>
    <phoneticPr fontId="20" type="noConversion"/>
  </si>
  <si>
    <t>女巫</t>
    <phoneticPr fontId="20" type="noConversion"/>
  </si>
  <si>
    <t>混沌界大门</t>
    <phoneticPr fontId="20" type="noConversion"/>
  </si>
  <si>
    <t>永恒战场</t>
    <phoneticPr fontId="20" type="noConversion"/>
  </si>
  <si>
    <t>攻城要塞</t>
    <phoneticPr fontId="20" type="noConversion"/>
  </si>
  <si>
    <t>死亡天使</t>
    <phoneticPr fontId="20" type="noConversion"/>
  </si>
  <si>
    <t>起始任务</t>
    <phoneticPr fontId="7" type="noConversion"/>
  </si>
  <si>
    <t>艾蓮娜的日誌</t>
    <phoneticPr fontId="20" type="noConversion"/>
  </si>
  <si>
    <t>完成艾蓮娜任务后激活</t>
    <phoneticPr fontId="7" type="noConversion"/>
  </si>
  <si>
    <t>衛斯馬屈</t>
    <phoneticPr fontId="7" type="noConversion"/>
  </si>
  <si>
    <t>威斯特玛</t>
    <phoneticPr fontId="20" type="noConversion"/>
  </si>
  <si>
    <t>简体中文</t>
    <phoneticPr fontId="7" type="noConversion"/>
  </si>
  <si>
    <t>对话成就详细节点</t>
    <phoneticPr fontId="7" type="noConversion"/>
  </si>
  <si>
    <t>全章节对话成就懒人攻略及详细节点</t>
    <phoneticPr fontId="7" type="noConversion"/>
  </si>
  <si>
    <t>红框地形◇</t>
  </si>
  <si>
    <t>篮框地形◇</t>
  </si>
  <si>
    <t>黄框地形◇</t>
  </si>
  <si>
    <t>紫框地形◇</t>
  </si>
  <si>
    <t>青框地形◇</t>
  </si>
  <si>
    <t>星号标记*</t>
  </si>
  <si>
    <t>地下城　</t>
  </si>
  <si>
    <t>特殊地形</t>
  </si>
  <si>
    <t>房间　　</t>
  </si>
  <si>
    <t>物品　　</t>
  </si>
  <si>
    <t>随机位置，随机出现</t>
  </si>
  <si>
    <t>固定位置，随机出现</t>
  </si>
  <si>
    <t>固定位置，固定出现</t>
  </si>
  <si>
    <t>固定位置、固定出现</t>
  </si>
  <si>
    <t>刷新机制</t>
    <phoneticPr fontId="7" type="noConversion"/>
  </si>
  <si>
    <t>类型</t>
    <phoneticPr fontId="7" type="noConversion"/>
  </si>
  <si>
    <t>地形名称</t>
    <phoneticPr fontId="7" type="noConversion"/>
  </si>
  <si>
    <t>备注</t>
    <phoneticPr fontId="7" type="noConversion"/>
  </si>
  <si>
    <t>独特藏品</t>
    <phoneticPr fontId="7" type="noConversion"/>
  </si>
  <si>
    <t>无悬赏</t>
    <phoneticPr fontId="7" type="noConversion"/>
  </si>
  <si>
    <t>悬赏任务</t>
    <phoneticPr fontId="7" type="noConversion"/>
  </si>
  <si>
    <t>怪物名称</t>
    <phoneticPr fontId="7" type="noConversion"/>
  </si>
  <si>
    <t>所属成就</t>
    <phoneticPr fontId="7" type="noConversion"/>
  </si>
  <si>
    <t>备注</t>
    <phoneticPr fontId="7" type="noConversion"/>
  </si>
  <si>
    <r>
      <rPr>
        <b/>
        <sz val="10"/>
        <color indexed="9"/>
        <rFont val="微软雅黑"/>
        <family val="2"/>
        <charset val="134"/>
      </rPr>
      <t>名称</t>
    </r>
    <phoneticPr fontId="7" type="noConversion"/>
  </si>
  <si>
    <r>
      <rPr>
        <b/>
        <sz val="10"/>
        <color indexed="9"/>
        <rFont val="微软雅黑"/>
        <family val="2"/>
        <charset val="134"/>
      </rPr>
      <t>章节</t>
    </r>
    <phoneticPr fontId="7" type="noConversion"/>
  </si>
  <si>
    <r>
      <rPr>
        <b/>
        <sz val="10"/>
        <color indexed="9"/>
        <rFont val="微软雅黑"/>
        <family val="2"/>
        <charset val="134"/>
      </rPr>
      <t>地图</t>
    </r>
    <phoneticPr fontId="7" type="noConversion"/>
  </si>
  <si>
    <r>
      <rPr>
        <b/>
        <sz val="10"/>
        <color indexed="9"/>
        <rFont val="微软雅黑"/>
        <family val="2"/>
        <charset val="134"/>
      </rPr>
      <t>名称</t>
    </r>
    <phoneticPr fontId="7" type="noConversion"/>
  </si>
  <si>
    <r>
      <rPr>
        <b/>
        <sz val="10"/>
        <color indexed="9"/>
        <rFont val="微软雅黑"/>
        <family val="2"/>
        <charset val="134"/>
      </rPr>
      <t>章节</t>
    </r>
    <phoneticPr fontId="7" type="noConversion"/>
  </si>
  <si>
    <r>
      <rPr>
        <b/>
        <sz val="10"/>
        <color indexed="9"/>
        <rFont val="微软雅黑"/>
        <family val="2"/>
        <charset val="134"/>
      </rPr>
      <t>地图</t>
    </r>
    <phoneticPr fontId="7" type="noConversion"/>
  </si>
  <si>
    <t>地图解析</t>
    <phoneticPr fontId="7" type="noConversion"/>
  </si>
  <si>
    <t>成就紫怪</t>
    <phoneticPr fontId="7" type="noConversion"/>
  </si>
  <si>
    <t>第一章</t>
    <phoneticPr fontId="7" type="noConversion"/>
  </si>
  <si>
    <t>蓝框地形◇</t>
  </si>
  <si>
    <t>橙框地形◇</t>
  </si>
  <si>
    <t>尸体　　</t>
  </si>
  <si>
    <t>传送平台</t>
  </si>
  <si>
    <t>随机事件</t>
  </si>
  <si>
    <t>诅咒宝箱</t>
  </si>
  <si>
    <t>古老的葬坑2-卡茲拉結群</t>
  </si>
  <si>
    <t>邪教徒的仪式</t>
  </si>
  <si>
    <t>卡兹拉召唤仪式</t>
  </si>
  <si>
    <t>呼救的村民</t>
  </si>
  <si>
    <t>水车</t>
  </si>
  <si>
    <t>池塘</t>
  </si>
  <si>
    <t>被尸骨螺旋包围的华丽宝箱</t>
  </si>
  <si>
    <t>狂风笼罩的华丽宝箱</t>
  </si>
  <si>
    <t>两种地下城二选一</t>
  </si>
  <si>
    <t>城镇　　</t>
  </si>
  <si>
    <t>随机位置，固定出现</t>
  </si>
  <si>
    <t>有悬赏</t>
    <phoneticPr fontId="7" type="noConversion"/>
  </si>
  <si>
    <t>独特藏品+撞见鬼</t>
    <phoneticPr fontId="7" type="noConversion"/>
  </si>
  <si>
    <t>无悬赏</t>
    <phoneticPr fontId="7" type="noConversion"/>
  </si>
  <si>
    <t>撞见鬼</t>
    <phoneticPr fontId="7" type="noConversion"/>
  </si>
  <si>
    <t>有悬赏</t>
    <phoneticPr fontId="7" type="noConversion"/>
  </si>
  <si>
    <t>井下洞穴</t>
  </si>
  <si>
    <t>发霉的地窖</t>
  </si>
  <si>
    <t>潮湿的地窖</t>
  </si>
  <si>
    <t>阴冷的地窖</t>
  </si>
  <si>
    <t>群葬坑</t>
  </si>
  <si>
    <t>奇想郡</t>
  </si>
  <si>
    <t>隐秘地窖</t>
  </si>
  <si>
    <t>大教堂</t>
  </si>
  <si>
    <t>李奥瑞克密道</t>
  </si>
  <si>
    <t>阴暗的地窖</t>
  </si>
  <si>
    <t>质管之井</t>
  </si>
  <si>
    <t>堕落者的洞穴</t>
  </si>
  <si>
    <t>铁匠学徒的尸体</t>
  </si>
  <si>
    <t>井底洞穴</t>
  </si>
  <si>
    <t>霉臭的地窖</t>
  </si>
  <si>
    <t>潮濕的地窖</t>
  </si>
  <si>
    <t>陰冷的地窖</t>
  </si>
  <si>
    <t>乱葬岗</t>
  </si>
  <si>
    <t>歡樂谷</t>
  </si>
  <si>
    <t>李奧瑞克密道</t>
  </si>
  <si>
    <t>幽暗的地窖</t>
  </si>
  <si>
    <t>品管之井</t>
  </si>
  <si>
    <t>沉淪魔窩巢</t>
  </si>
  <si>
    <t>鐵匠學徒的屍體</t>
  </si>
  <si>
    <t>地图</t>
    <phoneticPr fontId="20" type="noConversion"/>
  </si>
  <si>
    <t>地形分块</t>
    <phoneticPr fontId="20" type="noConversion"/>
  </si>
  <si>
    <r>
      <t>A</t>
    </r>
    <r>
      <rPr>
        <sz val="10"/>
        <rFont val="宋体"/>
        <family val="3"/>
        <charset val="134"/>
      </rPr>
      <t>1</t>
    </r>
    <phoneticPr fontId="20" type="noConversion"/>
  </si>
  <si>
    <t>☆数据暂缺☆</t>
    <phoneticPr fontId="20" type="noConversion"/>
  </si>
  <si>
    <t>大地图解析手册</t>
    <phoneticPr fontId="7" type="noConversion"/>
  </si>
  <si>
    <t>隱秘地窖</t>
    <phoneticPr fontId="20" type="noConversion"/>
  </si>
  <si>
    <t>随机位置，固定出现</t>
    <phoneticPr fontId="7" type="noConversion"/>
  </si>
  <si>
    <t>地下城　</t>
    <phoneticPr fontId="7" type="noConversion"/>
  </si>
  <si>
    <t>随机位置，随机出现</t>
    <phoneticPr fontId="7" type="noConversion"/>
  </si>
  <si>
    <t>特殊地形</t>
    <phoneticPr fontId="7" type="noConversion"/>
  </si>
  <si>
    <t>污秽的墓穴</t>
  </si>
  <si>
    <t>开发者地狱</t>
  </si>
  <si>
    <t>被褻瀆的墓穴</t>
    <phoneticPr fontId="20" type="noConversion"/>
  </si>
  <si>
    <t>開發者地獄</t>
    <phoneticPr fontId="20" type="noConversion"/>
  </si>
  <si>
    <t>卡兹拉洞穴</t>
  </si>
  <si>
    <t>食腐魔洞穴</t>
  </si>
  <si>
    <t>失落矿洞</t>
  </si>
  <si>
    <t>珍品屋</t>
  </si>
  <si>
    <t>腐烂墓穴</t>
  </si>
  <si>
    <t>清理食腐鸟</t>
  </si>
  <si>
    <t>荒废农地-农夫的地窖</t>
  </si>
  <si>
    <t>僻静林地</t>
  </si>
  <si>
    <t>修补匠的茅屋</t>
  </si>
  <si>
    <t>被洗劫的屋子</t>
  </si>
  <si>
    <t>斯维克德的尸体</t>
  </si>
  <si>
    <t>卡茲拉窩巢</t>
  </si>
  <si>
    <t>食腐獸窩巢</t>
  </si>
  <si>
    <t xml:space="preserve">失落礦洞 </t>
  </si>
  <si>
    <t>古董之家</t>
  </si>
  <si>
    <t>腐朽的墓穴</t>
  </si>
  <si>
    <t>廢棄農場-農夫的地窖</t>
  </si>
  <si>
    <t>僻靜林地</t>
  </si>
  <si>
    <t>工匠的雜物間</t>
  </si>
  <si>
    <t>被洗劫的房子</t>
  </si>
  <si>
    <t>篮框地形◇</t>
    <phoneticPr fontId="7" type="noConversion"/>
  </si>
  <si>
    <t>紫框地形◇</t>
    <phoneticPr fontId="7" type="noConversion"/>
  </si>
  <si>
    <t>珍貴的礦脈</t>
    <phoneticPr fontId="20" type="noConversion"/>
  </si>
  <si>
    <t>珍贵的矿石</t>
    <phoneticPr fontId="20" type="noConversion"/>
  </si>
  <si>
    <t>古董商阿德納</t>
    <phoneticPr fontId="20" type="noConversion"/>
  </si>
  <si>
    <t>精品商人阿迪娜</t>
    <phoneticPr fontId="20" type="noConversion"/>
  </si>
  <si>
    <t>雷斯的一家</t>
    <phoneticPr fontId="20" type="noConversion"/>
  </si>
  <si>
    <t>遭袭的农场</t>
    <phoneticPr fontId="20" type="noConversion"/>
  </si>
  <si>
    <t>雷斯的家人</t>
    <phoneticPr fontId="20" type="noConversion"/>
  </si>
  <si>
    <t>被包圍的農場</t>
    <phoneticPr fontId="20" type="noConversion"/>
  </si>
  <si>
    <t>内有华丽宝箱</t>
    <phoneticPr fontId="7" type="noConversion"/>
  </si>
  <si>
    <t>野外商人</t>
    <phoneticPr fontId="20" type="noConversion"/>
  </si>
  <si>
    <t>先祖墓穴</t>
    <phoneticPr fontId="20" type="noConversion"/>
  </si>
  <si>
    <t>独特藏品+撞见鬼</t>
    <phoneticPr fontId="7" type="noConversion"/>
  </si>
  <si>
    <t>月亮部族洞穴</t>
  </si>
  <si>
    <t>传教所</t>
  </si>
  <si>
    <t>废弃的仆人小屋</t>
  </si>
  <si>
    <t>卡瑞娜遗失的马车</t>
  </si>
  <si>
    <t>高地哨塔</t>
  </si>
  <si>
    <t>月族洞穴</t>
  </si>
  <si>
    <t xml:space="preserve">書院 </t>
  </si>
  <si>
    <t>廢棄的僕人小屋</t>
  </si>
  <si>
    <t>卡瑞娜遺失的貨車</t>
  </si>
  <si>
    <t xml:space="preserve">瞭望塔 </t>
  </si>
  <si>
    <t>古老的葬坑1-卡茲拉木乃伊</t>
    <phoneticPr fontId="7" type="noConversion"/>
  </si>
  <si>
    <t>召唤者</t>
    <phoneticPr fontId="7" type="noConversion"/>
  </si>
  <si>
    <t>崩塌的塔樓</t>
    <phoneticPr fontId="20" type="noConversion"/>
  </si>
  <si>
    <t>崩塌之塔</t>
    <phoneticPr fontId="20" type="noConversion"/>
  </si>
  <si>
    <t>被偷走的劍鞘</t>
    <phoneticPr fontId="20" type="noConversion"/>
  </si>
  <si>
    <t>被抢走的剑鞘</t>
    <phoneticPr fontId="20" type="noConversion"/>
  </si>
  <si>
    <t>在下方的高地路口刷新</t>
    <phoneticPr fontId="7" type="noConversion"/>
  </si>
  <si>
    <t>高地洞穴</t>
  </si>
  <si>
    <t>藥劑師的兄弟</t>
    <phoneticPr fontId="20" type="noConversion"/>
  </si>
  <si>
    <t>药剂师的兄弟</t>
    <phoneticPr fontId="20" type="noConversion"/>
  </si>
  <si>
    <t>熱風洞穴</t>
  </si>
  <si>
    <t>福奧德的地窖</t>
  </si>
  <si>
    <t>詛咒哨站</t>
  </si>
  <si>
    <t>詛咒城垛</t>
  </si>
  <si>
    <t>隱密會所</t>
  </si>
  <si>
    <t>秘密祭壇</t>
  </si>
  <si>
    <t>遺棄的地窖</t>
  </si>
  <si>
    <t>血腥地窖</t>
  </si>
  <si>
    <t>热风洞窟</t>
    <phoneticPr fontId="20" type="noConversion"/>
  </si>
  <si>
    <t>废弃的矿场</t>
    <phoneticPr fontId="20" type="noConversion"/>
  </si>
  <si>
    <t>福阿德的地窖</t>
    <phoneticPr fontId="20" type="noConversion"/>
  </si>
  <si>
    <t>矿工的黄金</t>
    <phoneticPr fontId="20" type="noConversion"/>
  </si>
  <si>
    <t>诅咒岗哨</t>
    <phoneticPr fontId="20" type="noConversion"/>
  </si>
  <si>
    <t>诅咒城垛</t>
    <phoneticPr fontId="20" type="noConversion"/>
  </si>
  <si>
    <t>隐秘法会</t>
    <phoneticPr fontId="20" type="noConversion"/>
  </si>
  <si>
    <t>秘密祭坛</t>
    <phoneticPr fontId="20" type="noConversion"/>
  </si>
  <si>
    <t>废弃的地窖</t>
    <phoneticPr fontId="20" type="noConversion"/>
  </si>
  <si>
    <t>A2</t>
    <phoneticPr fontId="20" type="noConversion"/>
  </si>
  <si>
    <t>A2</t>
    <phoneticPr fontId="20" type="noConversion"/>
  </si>
  <si>
    <t>廢棄的礦道</t>
    <phoneticPr fontId="20" type="noConversion"/>
  </si>
  <si>
    <t>邪教徒营地</t>
    <phoneticPr fontId="7" type="noConversion"/>
  </si>
  <si>
    <t>廢墟</t>
  </si>
  <si>
    <t>失落塑像之室</t>
    <phoneticPr fontId="20" type="noConversion"/>
  </si>
  <si>
    <t>崩塌的寶庫</t>
    <phoneticPr fontId="20" type="noConversion"/>
  </si>
  <si>
    <t>哈迪的礦坑</t>
    <phoneticPr fontId="20" type="noConversion"/>
  </si>
  <si>
    <t>廢棄的地窖</t>
    <phoneticPr fontId="20" type="noConversion"/>
  </si>
  <si>
    <t>遺失的商隊</t>
    <phoneticPr fontId="20" type="noConversion"/>
  </si>
  <si>
    <t>华丽宝箱</t>
    <phoneticPr fontId="7" type="noConversion"/>
  </si>
  <si>
    <t>指揮所</t>
    <phoneticPr fontId="20" type="noConversion"/>
  </si>
  <si>
    <t>鲜血地窖</t>
    <phoneticPr fontId="20" type="noConversion"/>
  </si>
  <si>
    <t>岩虫隧道</t>
    <phoneticPr fontId="20" type="noConversion"/>
  </si>
  <si>
    <t>废墟</t>
    <phoneticPr fontId="20" type="noConversion"/>
  </si>
  <si>
    <t>失落人偶的密厅</t>
    <phoneticPr fontId="20" type="noConversion"/>
  </si>
  <si>
    <t>崩裂密室</t>
    <phoneticPr fontId="20" type="noConversion"/>
  </si>
  <si>
    <t>哈迪霸占的矿坑</t>
    <phoneticPr fontId="20" type="noConversion"/>
  </si>
  <si>
    <t>遗弃的地窖</t>
    <phoneticPr fontId="20" type="noConversion"/>
  </si>
  <si>
    <t>失落的车队</t>
    <phoneticPr fontId="20" type="noConversion"/>
  </si>
  <si>
    <t>指挥所</t>
    <phoneticPr fontId="20" type="noConversion"/>
  </si>
  <si>
    <t>船只残骸</t>
    <phoneticPr fontId="7" type="noConversion"/>
  </si>
  <si>
    <t xml:space="preserve">沙坑上的尸体 </t>
    <phoneticPr fontId="7" type="noConversion"/>
  </si>
  <si>
    <t>下有紫怪埋伏</t>
    <phoneticPr fontId="7" type="noConversion"/>
  </si>
  <si>
    <t>可获得彩蛋书页“黑岩日志”</t>
    <phoneticPr fontId="7" type="noConversion"/>
  </si>
  <si>
    <t>无悬赏</t>
    <phoneticPr fontId="7" type="noConversion"/>
  </si>
  <si>
    <t>奧卡納斯</t>
    <phoneticPr fontId="20" type="noConversion"/>
  </si>
  <si>
    <t>奧卡納斯地窖</t>
    <phoneticPr fontId="20" type="noConversion"/>
  </si>
  <si>
    <t>阿尔卡纳斯地窖</t>
    <phoneticPr fontId="20" type="noConversion"/>
  </si>
  <si>
    <t>☆数据暂缺☆</t>
    <phoneticPr fontId="20" type="noConversion"/>
  </si>
  <si>
    <t>沙漠地窖</t>
    <phoneticPr fontId="20" type="noConversion"/>
  </si>
  <si>
    <t>沙化地窖</t>
    <phoneticPr fontId="20" type="noConversion"/>
  </si>
  <si>
    <t>城鎮地窖</t>
    <phoneticPr fontId="20" type="noConversion"/>
  </si>
  <si>
    <t>城镇地窖</t>
    <phoneticPr fontId="20" type="noConversion"/>
  </si>
  <si>
    <t>女巫巢穴</t>
    <phoneticPr fontId="20" type="noConversion"/>
  </si>
  <si>
    <t>巫婆老巢</t>
    <phoneticPr fontId="20" type="noConversion"/>
  </si>
  <si>
    <t>遍布尸骨的水池</t>
    <phoneticPr fontId="7" type="noConversion"/>
  </si>
  <si>
    <t>達厄古綠洲</t>
    <phoneticPr fontId="20" type="noConversion"/>
  </si>
  <si>
    <t>达尔格绿洲</t>
    <phoneticPr fontId="20" type="noConversion"/>
  </si>
  <si>
    <t>遺忘廢墟</t>
    <phoneticPr fontId="20" type="noConversion"/>
  </si>
  <si>
    <t>被遗忘的废墟</t>
    <phoneticPr fontId="20" type="noConversion"/>
  </si>
  <si>
    <t>古老的洞穴</t>
    <phoneticPr fontId="20" type="noConversion"/>
  </si>
  <si>
    <t>远古洞穴</t>
    <phoneticPr fontId="20" type="noConversion"/>
  </si>
  <si>
    <t>積水的洞穴</t>
    <phoneticPr fontId="20" type="noConversion"/>
  </si>
  <si>
    <t>漫水洞穴</t>
    <phoneticPr fontId="20" type="noConversion"/>
  </si>
  <si>
    <t>沙爾達陵墓</t>
    <phoneticPr fontId="20" type="noConversion"/>
  </si>
  <si>
    <t>萨达尔的墓穴</t>
    <phoneticPr fontId="20" type="noConversion"/>
  </si>
  <si>
    <t>費祖爾</t>
    <phoneticPr fontId="20" type="noConversion"/>
  </si>
  <si>
    <t>遍布尸骨的水池 埋伏有紫怪“菲祖尔</t>
    <phoneticPr fontId="20" type="noConversion"/>
  </si>
  <si>
    <t>達卡布可汗的陵墓</t>
    <phoneticPr fontId="20" type="noConversion"/>
  </si>
  <si>
    <t>坎·达卡布的陵墓</t>
    <phoneticPr fontId="20" type="noConversion"/>
  </si>
  <si>
    <t>腐朽的地窖</t>
    <phoneticPr fontId="20" type="noConversion"/>
  </si>
  <si>
    <t>腐烂的地窖</t>
    <phoneticPr fontId="20" type="noConversion"/>
  </si>
  <si>
    <t>被洗劫的地窖</t>
    <phoneticPr fontId="20" type="noConversion"/>
  </si>
  <si>
    <t>被洗劫的地窖</t>
    <phoneticPr fontId="20" type="noConversion"/>
  </si>
  <si>
    <t>神秘的洞穴</t>
    <phoneticPr fontId="20" type="noConversion"/>
  </si>
  <si>
    <t>神秘洞穴</t>
    <phoneticPr fontId="20" type="noConversion"/>
  </si>
  <si>
    <t>储物窖</t>
    <phoneticPr fontId="20" type="noConversion"/>
  </si>
  <si>
    <t>储藏地窖</t>
    <phoneticPr fontId="20" type="noConversion"/>
  </si>
  <si>
    <t>老漁夫的地窖</t>
    <phoneticPr fontId="20" type="noConversion"/>
  </si>
  <si>
    <t>老渔夫的地窖</t>
    <phoneticPr fontId="20" type="noConversion"/>
  </si>
  <si>
    <t>暴風地窖</t>
    <phoneticPr fontId="20" type="noConversion"/>
  </si>
  <si>
    <t>风暴地窖</t>
    <phoneticPr fontId="20" type="noConversion"/>
  </si>
  <si>
    <t>濕沼地窖</t>
    <phoneticPr fontId="20" type="noConversion"/>
  </si>
  <si>
    <t>浸水地窖</t>
    <phoneticPr fontId="20" type="noConversion"/>
  </si>
  <si>
    <t>遠古水道</t>
    <phoneticPr fontId="20" type="noConversion"/>
  </si>
  <si>
    <t>远古水道</t>
    <phoneticPr fontId="20" type="noConversion"/>
  </si>
  <si>
    <t>煉金師札梵</t>
    <phoneticPr fontId="20" type="noConversion"/>
  </si>
  <si>
    <t>炼金师萨文</t>
    <phoneticPr fontId="20" type="noConversion"/>
  </si>
  <si>
    <t>☆数据暂缺☆</t>
    <phoneticPr fontId="20" type="noConversion"/>
  </si>
  <si>
    <t>毕叔尼休</t>
    <phoneticPr fontId="7" type="noConversion"/>
  </si>
  <si>
    <t>发光的罐子</t>
    <phoneticPr fontId="7" type="noConversion"/>
  </si>
  <si>
    <t>一地蛤蟆</t>
    <phoneticPr fontId="7" type="noConversion"/>
  </si>
  <si>
    <t>淒涼沙地</t>
    <phoneticPr fontId="20" type="noConversion"/>
  </si>
  <si>
    <t>凄凉沙漠</t>
    <phoneticPr fontId="20" type="noConversion"/>
  </si>
  <si>
    <t>刺客地庫</t>
    <phoneticPr fontId="20" type="noConversion"/>
  </si>
  <si>
    <t>刺客密室</t>
    <phoneticPr fontId="20" type="noConversion"/>
  </si>
  <si>
    <t>背叛者洞穴</t>
    <phoneticPr fontId="20" type="noConversion"/>
  </si>
  <si>
    <t>背叛者洞穴</t>
    <phoneticPr fontId="20" type="noConversion"/>
  </si>
  <si>
    <t>兇邪的洞穴</t>
    <phoneticPr fontId="20" type="noConversion"/>
  </si>
  <si>
    <t>邪恶洞窟</t>
    <phoneticPr fontId="20" type="noConversion"/>
  </si>
  <si>
    <t>掘地骇物的洞穴</t>
    <phoneticPr fontId="20" type="noConversion"/>
  </si>
  <si>
    <t>蟲母契貚</t>
    <phoneticPr fontId="20" type="noConversion"/>
  </si>
  <si>
    <t>巢穴魔母</t>
    <phoneticPr fontId="20" type="noConversion"/>
  </si>
  <si>
    <t>九蟆</t>
    <phoneticPr fontId="20" type="noConversion"/>
  </si>
  <si>
    <t>九蟾恶尸</t>
    <phoneticPr fontId="20" type="noConversion"/>
  </si>
  <si>
    <t>怪物</t>
    <phoneticPr fontId="20" type="noConversion"/>
  </si>
  <si>
    <t>怪物</t>
    <phoneticPr fontId="20" type="noConversion"/>
  </si>
  <si>
    <t>独特怪</t>
    <phoneticPr fontId="20" type="noConversion"/>
  </si>
  <si>
    <t>独特怪</t>
    <phoneticPr fontId="20" type="noConversion"/>
  </si>
  <si>
    <t>古老的装置</t>
    <phoneticPr fontId="20" type="noConversion"/>
  </si>
  <si>
    <t>上古装置</t>
    <phoneticPr fontId="20" type="noConversion"/>
  </si>
  <si>
    <t>触发后会遭遇紫怪“帕祖祖”</t>
    <phoneticPr fontId="7" type="noConversion"/>
  </si>
  <si>
    <t>☆数据暂缺☆</t>
    <phoneticPr fontId="20" type="noConversion"/>
  </si>
  <si>
    <t>A3</t>
    <phoneticPr fontId="20" type="noConversion"/>
  </si>
  <si>
    <t>前线兵营</t>
    <phoneticPr fontId="7" type="noConversion"/>
  </si>
  <si>
    <t>先锋军营房</t>
    <phoneticPr fontId="7" type="noConversion"/>
  </si>
  <si>
    <t>☆数据暂缺☆</t>
    <phoneticPr fontId="7" type="noConversion"/>
  </si>
  <si>
    <t>战备物资储藏室</t>
    <phoneticPr fontId="7" type="noConversion"/>
  </si>
  <si>
    <t>克萊德哨站</t>
    <phoneticPr fontId="7" type="noConversion"/>
  </si>
  <si>
    <t>克莱德的哨所</t>
    <phoneticPr fontId="7" type="noConversion"/>
  </si>
  <si>
    <t>铸造间</t>
    <phoneticPr fontId="7" type="noConversion"/>
  </si>
  <si>
    <t>惡魔弩砲</t>
    <phoneticPr fontId="7" type="noConversion"/>
  </si>
  <si>
    <t>恶魔弩炮</t>
    <phoneticPr fontId="7" type="noConversion"/>
  </si>
  <si>
    <t>兵營</t>
    <phoneticPr fontId="7" type="noConversion"/>
  </si>
  <si>
    <t>营房</t>
    <phoneticPr fontId="7" type="noConversion"/>
  </si>
  <si>
    <t>防禦碉堡</t>
    <phoneticPr fontId="7" type="noConversion"/>
  </si>
  <si>
    <t>坚固的地堡</t>
    <phoneticPr fontId="7" type="noConversion"/>
  </si>
  <si>
    <t>戍衛要塞堡壘</t>
    <phoneticPr fontId="7" type="noConversion"/>
  </si>
  <si>
    <t>巴斯廷要塞据点</t>
    <phoneticPr fontId="7" type="noConversion"/>
  </si>
  <si>
    <t>煉金師哈爾米</t>
    <phoneticPr fontId="20" type="noConversion"/>
  </si>
  <si>
    <t>炼金师哈尔敏</t>
    <phoneticPr fontId="20" type="noConversion"/>
  </si>
  <si>
    <t>一共会刷新三个</t>
    <phoneticPr fontId="7" type="noConversion"/>
  </si>
  <si>
    <t>寒冰洞</t>
    <phoneticPr fontId="20" type="noConversion"/>
  </si>
  <si>
    <t>冰瀑洞穴</t>
    <phoneticPr fontId="20" type="noConversion"/>
  </si>
  <si>
    <t>独特藏品+夺命独角兽之地</t>
    <phoneticPr fontId="7" type="noConversion"/>
  </si>
  <si>
    <t>科斯克橋</t>
    <phoneticPr fontId="20" type="noConversion"/>
  </si>
  <si>
    <r>
      <t>本攻略适合那些已有各个任务进度，想要一步完成全对话成就的玩家。</t>
    </r>
    <r>
      <rPr>
        <b/>
        <sz val="11"/>
        <color rgb="FFC00000"/>
        <rFont val="微软雅黑"/>
        <family val="2"/>
        <charset val="134"/>
      </rPr>
      <t>只缺1、2句特定对话的玩家，建议查看下方“对话详细节点节点”方便补全。</t>
    </r>
    <phoneticPr fontId="7" type="noConversion"/>
  </si>
  <si>
    <t>懒人攻略</t>
    <phoneticPr fontId="7" type="noConversion"/>
  </si>
  <si>
    <t>切换语言及快速导航：</t>
    <phoneticPr fontId="7" type="noConversion"/>
  </si>
  <si>
    <t>[非固定出现]如果二层地上有大量"腐烂的沼泽怪"的尸体，则会固定刷新事件</t>
    <phoneticPr fontId="7" type="noConversion"/>
  </si>
  <si>
    <t>奈非天的命运,第一部分</t>
    <phoneticPr fontId="20" type="noConversion"/>
  </si>
  <si>
    <t>奈非天的命运,第二部分</t>
    <phoneticPr fontId="20" type="noConversion"/>
  </si>
  <si>
    <t>奈非天的命运,第三部分</t>
    <phoneticPr fontId="20" type="noConversion"/>
  </si>
  <si>
    <t>奈非天秘境</t>
    <phoneticPr fontId="20" type="noConversion"/>
  </si>
  <si>
    <t>失落的奈非天宝藏</t>
    <phoneticPr fontId="46" type="noConversion"/>
  </si>
  <si>
    <t>奈非天圣骨匣</t>
    <phoneticPr fontId="46" type="noConversion"/>
  </si>
  <si>
    <t>剧情模式刷新几率较高</t>
    <phoneticPr fontId="7" type="noConversion"/>
  </si>
  <si>
    <t>顽魔布拉戈</t>
    <phoneticPr fontId="20" type="noConversion"/>
  </si>
  <si>
    <t>[非固定出现]如果出现大量"逃兵的尸体"则会随机刷新多个背包</t>
    <phoneticPr fontId="7" type="noConversion"/>
  </si>
  <si>
    <t>莉娅的出生</t>
    <phoneticPr fontId="20" type="noConversion"/>
  </si>
  <si>
    <t>艾德莉亚与凯恩</t>
    <phoneticPr fontId="20" type="noConversion"/>
  </si>
  <si>
    <t>艾德莉亚被捕</t>
    <phoneticPr fontId="20" type="noConversion"/>
  </si>
  <si>
    <t>疯狂的魔法师</t>
    <phoneticPr fontId="20" type="noConversion"/>
  </si>
  <si>
    <t>泰瑞尔的警告</t>
    <phoneticPr fontId="20" type="noConversion"/>
  </si>
  <si>
    <t>动机</t>
    <phoneticPr fontId="20" type="noConversion"/>
  </si>
  <si>
    <t>艾德莉亚的任务</t>
    <phoneticPr fontId="20" type="noConversion"/>
  </si>
  <si>
    <t>诱捕彼列</t>
    <phoneticPr fontId="20" type="noConversion"/>
  </si>
  <si>
    <t>阿兹莫丹</t>
    <phoneticPr fontId="20" type="noConversion"/>
  </si>
  <si>
    <t>战争的终结</t>
    <phoneticPr fontId="20" type="noConversion"/>
  </si>
  <si>
    <t>净化卡尔蒂姆</t>
    <phoneticPr fontId="20" type="noConversion"/>
  </si>
  <si>
    <t>被攻破的要塞</t>
    <phoneticPr fontId="20" type="noConversion"/>
  </si>
  <si>
    <t>战争机器</t>
    <phoneticPr fontId="20" type="noConversion"/>
  </si>
  <si>
    <t>聖德會堂</t>
    <phoneticPr fontId="20" type="noConversion"/>
  </si>
  <si>
    <t>美德神堂</t>
    <phoneticPr fontId="20" type="noConversion"/>
  </si>
  <si>
    <t>鑽岩怪洞穴</t>
    <phoneticPr fontId="20" type="noConversion"/>
  </si>
  <si>
    <t>[固定出现][固定位置][任务]2-7-2</t>
    <phoneticPr fontId="7" type="noConversion"/>
  </si>
  <si>
    <t>[固定出现][固定位置][任务]2-5-1</t>
    <phoneticPr fontId="7" type="noConversion"/>
  </si>
  <si>
    <t>被囚禁的天使</t>
    <phoneticPr fontId="20" type="noConversion"/>
  </si>
  <si>
    <t>黑暗国王的统治</t>
    <phoneticPr fontId="20" type="noConversion"/>
  </si>
  <si>
    <t>奇异之人的剑</t>
    <phoneticPr fontId="20" type="noConversion"/>
  </si>
  <si>
    <t>破损的剑刃</t>
    <phoneticPr fontId="20" type="noConversion"/>
  </si>
  <si>
    <t>沃桑的劫数</t>
    <phoneticPr fontId="20" type="noConversion"/>
  </si>
  <si>
    <t>追踪巫师会</t>
    <phoneticPr fontId="20" type="noConversion"/>
  </si>
  <si>
    <t>需激活，第一章结束之前对话。</t>
    <phoneticPr fontId="7" type="noConversion"/>
  </si>
  <si>
    <t>Phyneus the Growler</t>
    <phoneticPr fontId="20" type="noConversion"/>
  </si>
  <si>
    <t>Pan Fezbane</t>
    <phoneticPr fontId="20" type="noConversion"/>
  </si>
  <si>
    <t>潘•費茲本</t>
    <phoneticPr fontId="20" type="noConversion"/>
  </si>
  <si>
    <t>Hazzor the Viper</t>
    <phoneticPr fontId="20" type="noConversion"/>
  </si>
  <si>
    <t>Enraged Phantom</t>
    <phoneticPr fontId="50" type="noConversion"/>
  </si>
  <si>
    <t>☆</t>
    <phoneticPr fontId="7" type="noConversion"/>
  </si>
  <si>
    <t>出现概率极低。2.3补丁后添加了悬赏任务。</t>
    <phoneticPr fontId="7" type="noConversion"/>
  </si>
  <si>
    <t>布萊索恩墓園</t>
    <phoneticPr fontId="20" type="noConversion"/>
  </si>
  <si>
    <t>衛斯馬屈城中區</t>
    <phoneticPr fontId="20" type="noConversion"/>
  </si>
  <si>
    <t>衛斯馬屈山城區</t>
    <phoneticPr fontId="20" type="noConversion"/>
  </si>
  <si>
    <t>Vek Tabok</t>
    <phoneticPr fontId="20" type="noConversion"/>
  </si>
  <si>
    <t>Tollifer's Last Stand</t>
    <phoneticPr fontId="20" type="noConversion"/>
  </si>
  <si>
    <t>The Angered Dead</t>
    <phoneticPr fontId="20" type="noConversion"/>
  </si>
  <si>
    <t>Touch of Death</t>
    <phoneticPr fontId="20" type="noConversion"/>
  </si>
  <si>
    <t>Walk in the Park</t>
    <phoneticPr fontId="20" type="noConversion"/>
  </si>
  <si>
    <t>A Shameful Death</t>
    <phoneticPr fontId="20" type="noConversion"/>
  </si>
  <si>
    <t>Home Invasion</t>
    <phoneticPr fontId="20" type="noConversion"/>
  </si>
  <si>
    <t>Necromancer's Choice</t>
    <phoneticPr fontId="20" type="noConversion"/>
  </si>
  <si>
    <t>The Reformed Cultist</t>
    <phoneticPr fontId="20" type="noConversion"/>
  </si>
  <si>
    <t>The Miser's Will</t>
    <phoneticPr fontId="20" type="noConversion"/>
  </si>
  <si>
    <t>The Last Stand</t>
    <phoneticPr fontId="20" type="noConversion"/>
  </si>
  <si>
    <t>The Harvest</t>
    <phoneticPr fontId="20" type="noConversion"/>
  </si>
  <si>
    <t>Magic Misfire</t>
    <phoneticPr fontId="20" type="noConversion"/>
  </si>
  <si>
    <t>The Lost Patrol</t>
    <phoneticPr fontId="20" type="noConversion"/>
  </si>
  <si>
    <t>Out of the Fire</t>
    <phoneticPr fontId="20" type="noConversion"/>
  </si>
  <si>
    <t>Finding the Forgotten</t>
    <phoneticPr fontId="20" type="noConversion"/>
  </si>
  <si>
    <t>Hide and Seek</t>
    <phoneticPr fontId="20" type="noConversion"/>
  </si>
  <si>
    <t>The Rebellious Rabble</t>
    <phoneticPr fontId="20" type="noConversion"/>
  </si>
  <si>
    <t>随机</t>
    <phoneticPr fontId="20" type="noConversion"/>
  </si>
  <si>
    <t>Noble Deaths</t>
    <phoneticPr fontId="20" type="noConversion"/>
  </si>
  <si>
    <t>The True Son of the Wolf</t>
    <phoneticPr fontId="20" type="noConversion"/>
  </si>
  <si>
    <t>Grave Robert</t>
    <phoneticPr fontId="20" type="noConversion"/>
  </si>
  <si>
    <t>Penny for Your Troubles</t>
    <phoneticPr fontId="20" type="noConversion"/>
  </si>
  <si>
    <t>Grave Situation</t>
    <phoneticPr fontId="20" type="noConversion"/>
  </si>
  <si>
    <t>Altar of Sadness</t>
    <phoneticPr fontId="20" type="noConversion"/>
  </si>
  <si>
    <t>Cryptology</t>
    <phoneticPr fontId="20" type="noConversion"/>
  </si>
  <si>
    <t>Lord of Fools</t>
    <phoneticPr fontId="20" type="noConversion"/>
  </si>
  <si>
    <t>The Lord of the Hill</t>
    <phoneticPr fontId="20" type="noConversion"/>
  </si>
  <si>
    <t>Research Problems</t>
    <phoneticPr fontId="20" type="noConversion"/>
  </si>
  <si>
    <t>The Burning Man</t>
    <phoneticPr fontId="20" type="noConversion"/>
  </si>
  <si>
    <r>
      <t>T</t>
    </r>
    <r>
      <rPr>
        <sz val="10"/>
        <rFont val="宋体"/>
        <family val="3"/>
        <charset val="134"/>
      </rPr>
      <t>he Hatchery</t>
    </r>
    <phoneticPr fontId="20" type="noConversion"/>
  </si>
  <si>
    <t>☆数据暂缺☆</t>
    <phoneticPr fontId="20" type="noConversion"/>
  </si>
  <si>
    <t>The Golden Chamber</t>
    <phoneticPr fontId="20" type="noConversion"/>
  </si>
  <si>
    <t>The War that Time Forgot</t>
    <phoneticPr fontId="20" type="noConversion"/>
  </si>
  <si>
    <t>The Demonic Prisoner</t>
    <phoneticPr fontId="20" type="noConversion"/>
  </si>
  <si>
    <t>Resurrection</t>
    <phoneticPr fontId="20" type="noConversion"/>
  </si>
  <si>
    <t>A Diversion</t>
    <phoneticPr fontId="20" type="noConversion"/>
  </si>
  <si>
    <t>The Great Weapon</t>
    <phoneticPr fontId="20" type="noConversion"/>
  </si>
  <si>
    <t>The Bogan Haul</t>
    <phoneticPr fontId="20" type="noConversion"/>
  </si>
  <si>
    <t>Brutal Assault</t>
    <phoneticPr fontId="20" type="noConversion"/>
  </si>
  <si>
    <t>Demon Prison</t>
    <phoneticPr fontId="20" type="noConversion"/>
  </si>
  <si>
    <t>Leap of Faith</t>
    <phoneticPr fontId="20" type="noConversion"/>
  </si>
  <si>
    <t>Judgment</t>
    <phoneticPr fontId="20" type="noConversion"/>
  </si>
  <si>
    <t>Demon Souls</t>
    <phoneticPr fontId="20" type="noConversion"/>
  </si>
  <si>
    <t>Lost Host</t>
    <phoneticPr fontId="20" type="noConversion"/>
  </si>
  <si>
    <t>Ancient Prison</t>
    <phoneticPr fontId="20" type="noConversion"/>
  </si>
  <si>
    <t>Out of Time</t>
    <phoneticPr fontId="20" type="noConversion"/>
  </si>
  <si>
    <t>The Crystal Prison</t>
    <phoneticPr fontId="20" type="noConversion"/>
  </si>
  <si>
    <t>The Cursed Forum</t>
    <phoneticPr fontId="20" type="noConversion"/>
  </si>
  <si>
    <t>The Cursed Bone Pit</t>
    <phoneticPr fontId="20" type="noConversion"/>
  </si>
  <si>
    <t>The Cursed Realm</t>
    <phoneticPr fontId="20" type="noConversion"/>
  </si>
  <si>
    <t>The Cursed Peat</t>
    <phoneticPr fontId="20" type="noConversion"/>
  </si>
  <si>
    <t>The Cursed War Room</t>
    <phoneticPr fontId="20" type="noConversion"/>
  </si>
  <si>
    <t>The Cursed City</t>
    <phoneticPr fontId="20" type="noConversion"/>
  </si>
  <si>
    <t>时光囚牢</t>
    <phoneticPr fontId="46" type="noConversion"/>
  </si>
  <si>
    <t>Reliquary of the Nephalem</t>
    <phoneticPr fontId="20" type="noConversion"/>
  </si>
  <si>
    <r>
      <t>T</t>
    </r>
    <r>
      <rPr>
        <sz val="10"/>
        <rFont val="宋体"/>
        <family val="3"/>
        <charset val="134"/>
      </rPr>
      <t>reasure Room</t>
    </r>
    <phoneticPr fontId="20" type="noConversion"/>
  </si>
  <si>
    <t>恶魔之魂</t>
    <phoneticPr fontId="20" type="noConversion"/>
  </si>
  <si>
    <t>捍衛家族墓穴</t>
    <phoneticPr fontId="20" type="noConversion"/>
  </si>
  <si>
    <t>☆</t>
    <phoneticPr fontId="7" type="noConversion"/>
  </si>
  <si>
    <t>悬赏任务ID</t>
  </si>
  <si>
    <t>悬赏任务英文名</t>
  </si>
  <si>
    <t>任务所处地图</t>
  </si>
  <si>
    <t>X1_Bounty_A1_Highlands_Event_Tower_Of_Power.qst</t>
  </si>
  <si>
    <t>Bounty: Crumbling Tower</t>
  </si>
  <si>
    <t>X1_Bounty_A1_Highlands_Event_Gharbad_The_Weak.qst</t>
  </si>
  <si>
    <t>Bounty: Revenge of Gharbad</t>
  </si>
  <si>
    <t>X1_Bounty_A1_Highlands_Event_Vendor_Armorer.qst</t>
  </si>
  <si>
    <t>Bounty: Scavenged Scabbard</t>
  </si>
  <si>
    <t>X1_Bounty_A1_Highlands_Kill_Cadhul.qst</t>
  </si>
  <si>
    <t>X1_Bounty_A1_Highlands_Kill_Chupa.qst</t>
  </si>
  <si>
    <t>X1_Bounty_A1_Highlands_Kill_Skehlinrath.qst</t>
  </si>
  <si>
    <t>X1_Bounty_A1_Highlands_Kill_Logrut.qst</t>
  </si>
  <si>
    <t>Bounty: Kill Logrut the Warrior</t>
  </si>
  <si>
    <t>X1_Bounty_A1_Highlands_Kill_Buras.qst</t>
  </si>
  <si>
    <t>Bounty: Kill Buras the Impaler</t>
  </si>
  <si>
    <t>X1_Bounty_A1_Highlands_Kill_Lorzak.qst</t>
  </si>
  <si>
    <t>Bounty: Kill Lorzak the Powerful</t>
  </si>
  <si>
    <t>X1_Bounty_A1_Highlands_Kill_RedRock.qst</t>
  </si>
  <si>
    <t>Bounty: Kill Red Rock</t>
  </si>
  <si>
    <t>X1_Bounty_A1_Highlands_Clear_CaveMoonClan2.qst</t>
  </si>
  <si>
    <t>Bounty: Clear the Cave of the Moon Clan</t>
  </si>
  <si>
    <t>X1_Bounty_A1_Wilderness_Clear_DenOfTheFallen2.qst</t>
  </si>
  <si>
    <t>Bounty: Clear the Den of the Fallen</t>
  </si>
  <si>
    <t>X1_Bounty_A1_Wilderness_Kill_Mange.qst</t>
  </si>
  <si>
    <t>Bounty: Kill Mange</t>
  </si>
  <si>
    <t>X1_Bounty_A1_Fields_Clear_ScavengerDen2.qst</t>
  </si>
  <si>
    <t>Bounty: Clear the Scavenger's Den</t>
  </si>
  <si>
    <t>X1_Bounty_A1_Fields_Kill_Melmak.qst</t>
  </si>
  <si>
    <t>Bounty: Kill Melmak</t>
  </si>
  <si>
    <t>X1_Bounty_A1_Fields_Event_FarmhouseAmbush.qst</t>
  </si>
  <si>
    <t>Bounty: Carrion Farm</t>
  </si>
  <si>
    <t>X1_Bounty_A1_FesteringWoods_Event_Last_Stand.qst</t>
  </si>
  <si>
    <t>Bounty: Last Stand of the Ancients</t>
  </si>
  <si>
    <t>X1_Bounty_A1_FesteringWoods_Event_Eternal_War.qst</t>
  </si>
  <si>
    <t>Bounty: Eternal War</t>
  </si>
  <si>
    <t>X1_Bounty_A1_FesteringWoods_Kill_Grimshack.qst</t>
  </si>
  <si>
    <t>Bounty: Kill Grimsmack</t>
  </si>
  <si>
    <t>X1_Bounty_A1_FesteringWoods_Clear_CryptOfTheAncients.qst</t>
  </si>
  <si>
    <t>Bounty: Clear the Crypt of the Ancients</t>
  </si>
  <si>
    <t>X1_Bounty_A1_FesteringWoods_Clear_WarriorsRest.qst</t>
  </si>
  <si>
    <t>Bounty: Clear Warrior's Rest</t>
  </si>
  <si>
    <t>X1_Bounty_A1_SpiderCaves_Kill_Zhelobb.qst</t>
  </si>
  <si>
    <t>Bounty: Kill Zhelobb the Venomous</t>
  </si>
  <si>
    <t>X1_Bounty_A1_SpiderCaves_Kill_Venimite.qst</t>
  </si>
  <si>
    <t>Bounty: Kill Venimite</t>
  </si>
  <si>
    <t>X1_Bounty_A1_SpiderCaves_Kill_Rathlin.qst</t>
  </si>
  <si>
    <t>Bounty: Kill Rathlin the Widowmaker</t>
  </si>
  <si>
    <t>X1_Bounty_A1_SpiderCaves_Kill_QueenAraneae.qst</t>
  </si>
  <si>
    <t>X1_Bounty_A1_LeoricsDungeon_Kill_Crassus.qst</t>
  </si>
  <si>
    <t>Bounty: Kill Crassus the Tormentor</t>
  </si>
  <si>
    <t>X1_Bounty_A1_LeoricsDungeon_Kill_Bludgeonskull.qst</t>
  </si>
  <si>
    <t xml:space="preserve">Bounty: Kill Bludgeonskull </t>
  </si>
  <si>
    <t>X1_Bounty_A1_LeoricsDungeon_Event_IronMaiden.qst</t>
  </si>
  <si>
    <t>Bounty: A Stranger in Need</t>
  </si>
  <si>
    <t>X1_Bounty_A1_SpiderCaves_Kill_Arsect.qst</t>
  </si>
  <si>
    <t>X1_Bounty_A1_SpiderCaves_Kill_Qurash.qst</t>
  </si>
  <si>
    <t>Bounty: Kill Qurash the Reviled</t>
  </si>
  <si>
    <t>X1_Bounty_A2_HowlingPlateau_Event_GreedyMiner.qst</t>
  </si>
  <si>
    <t>Bounty: A Miner's Gold</t>
  </si>
  <si>
    <t>X1_Bounty_A2_HowlingPlateau_Kill_Saha.qst</t>
  </si>
  <si>
    <t>Bounty: Kill Saha the Slasher</t>
  </si>
  <si>
    <t>X1_Bounty_A2_HowlingPlateau_Kill_Taros.qst</t>
  </si>
  <si>
    <t>Bounty: Kill Taros the Wild</t>
  </si>
  <si>
    <t>X1_Bounty_A2_HowlingPlateau_Kill_Razormouth.qst</t>
  </si>
  <si>
    <t>Bounty: Kill Razormouth</t>
  </si>
  <si>
    <t>X1_Bounty_A2_HowlingPlateau_Kill_Ashek.qst</t>
  </si>
  <si>
    <t>Bounty: Kill Ashek</t>
  </si>
  <si>
    <t>X1_Bounty_A2_Alcarnus_Kill_Bonesplinter.qst</t>
  </si>
  <si>
    <t>Bounty: Kill Bonesplinter</t>
  </si>
  <si>
    <t>X1_Bounty_A2_Alcarnus_Kill_Shondar.qst</t>
  </si>
  <si>
    <t>Bounty: Kill Shondar the Invoker</t>
  </si>
  <si>
    <t>X1_Bounty_A2_Oasis_Event_ShrineOfRakanishu.qst</t>
  </si>
  <si>
    <t>Bounty: The Shrine of Rakanishu</t>
  </si>
  <si>
    <t>X1_Bounty_A2_Oasis_Event_LostTreasureKhanDakab.qst</t>
  </si>
  <si>
    <t>Bounty: Lost Treasure of Khan Dakab</t>
  </si>
  <si>
    <t>X1_Bounty_A2_Oasis_Clear_AncientCave2.qst</t>
  </si>
  <si>
    <t>Bounty: Clear the Ancient Cave</t>
  </si>
  <si>
    <t>X1_Bounty_A2_Oasis_Clear_FloodedCave2.qst</t>
  </si>
  <si>
    <t>Bounty: Clear the Flooded Cave</t>
  </si>
  <si>
    <t>X1_Bounty_A2_Oasis_Kill_ScarTalon.qst</t>
  </si>
  <si>
    <t>Bounty: Kill Scar Talon</t>
  </si>
  <si>
    <t>X1_Bounty_A2_Boneyards_Clear_VileCavern2.qst</t>
  </si>
  <si>
    <t>Bounty: Clear the Vile Cavern</t>
  </si>
  <si>
    <t>X1_Bounty_A2_Boneyards_Clear_CaveOfBurrowingHorror2.qst</t>
  </si>
  <si>
    <t>Bounty: Clear the Cave of Burrowing Horror</t>
  </si>
  <si>
    <t>X1_Bounty_A2_Boneyards_Kill_Raiha.qst</t>
  </si>
  <si>
    <t>Bounty: Kill Raiha</t>
  </si>
  <si>
    <t>X1_Bounty_A2_Boneyards_Kill_Blarg.qst</t>
  </si>
  <si>
    <t>Bounty: Kill Blarg</t>
  </si>
  <si>
    <t>X1_Bounty_A2_Boneyards_Kill_Bloodfeather.qst</t>
  </si>
  <si>
    <t>Bounty: Kill Bloodfeather</t>
  </si>
  <si>
    <t>X1_Bounty_A2_ZKArchives_Kill_TheArchivist.qst</t>
  </si>
  <si>
    <t>Bounty: Kill the Archivist</t>
  </si>
  <si>
    <t>X1_Bounty_A2_ZKArchives_Kill_Thugeesh.qst</t>
  </si>
  <si>
    <t>Bounty: Kill Thugeesh the Enraged</t>
  </si>
  <si>
    <t>X1_Bounty_A2_ZKArchives_Kill_Hellscream.qst</t>
  </si>
  <si>
    <t>Bounty: Kill Hellscream</t>
  </si>
  <si>
    <t>X1_Bounty_A2_ZKArchives_Kill_Thrum.qst</t>
  </si>
  <si>
    <t>Bounty: Kill Thrum</t>
  </si>
  <si>
    <t>X1_Bounty_A2_ZKArchives_Kill_TheTomekeeper.qst</t>
  </si>
  <si>
    <t>Bounty: Kill the Tomekeeper</t>
  </si>
  <si>
    <t>X1_Bounty_A2_ZKArchives_Kill_MageLordSkomora.qst</t>
  </si>
  <si>
    <t>Bounty: Kill Mage Lord Skomara</t>
  </si>
  <si>
    <t>X1_Bounty_A2_ZKArchives_Kill_MageLordGhuyan.qst</t>
  </si>
  <si>
    <t>Bounty: Kill Mage Lord Ghuyan</t>
  </si>
  <si>
    <t>X1_Bounty_A3_Ramparts_Kill_XahRith.qst</t>
  </si>
  <si>
    <t>Bounty: Kill Xah'Rith the Keywarden</t>
  </si>
  <si>
    <t>X1_Bounty_A3_Ramparts_Kill_Bricktop.qst</t>
  </si>
  <si>
    <t>Bounty: Kill Bricktop</t>
  </si>
  <si>
    <t>X1_Bounty_A3_Ramparts_Kill_Bashface.qst</t>
  </si>
  <si>
    <t>Bounty: Kill Bashface the Truncheon</t>
  </si>
  <si>
    <t>X1_Bounty_A3_Ramparts_Kill_Marchocyas.qst</t>
  </si>
  <si>
    <t>Bounty: Kill Marchocyas</t>
  </si>
  <si>
    <t>X1_Bounty_A3_KeepDepths_Event_KeepBlacksmith.qst</t>
  </si>
  <si>
    <t>Bounty: Forged in Battle</t>
  </si>
  <si>
    <t>X1_Bounty_A3_KeepDepths_Kill_Thornback.qst</t>
  </si>
  <si>
    <t>Bounty: Kill Thornback</t>
  </si>
  <si>
    <t>X1_Bounty_A3_KeepDepths_Kill_CaptainDonnAdams.qst</t>
  </si>
  <si>
    <t>Bounty: Kill Captain Donn Adams</t>
  </si>
  <si>
    <t>X1_Bounty_A3_KeepDepths_Kill_CaptainDale.qst</t>
  </si>
  <si>
    <t>Bounty: Kill Captain Dale</t>
  </si>
  <si>
    <t>X1_Bounty_A3_KeepDepths_Kill_TheCrusher.qst</t>
  </si>
  <si>
    <t>Bounty: Kill the Crusher</t>
  </si>
  <si>
    <t>X1_Bounty_A3_KeepDepths_Kill_Belagg.qst</t>
  </si>
  <si>
    <t>Bounty: Kill Belagg Pierceflesh</t>
  </si>
  <si>
    <t>X1_Bounty_A3_KeepDepths_Kill_Gugyn.qst</t>
  </si>
  <si>
    <t>Bounty: Kill Gugyn the Gauntlet</t>
  </si>
  <si>
    <t>X1_Bounty_A3_KeepDepths_Kill_Ghom.qst</t>
  </si>
  <si>
    <t>Bounty: Kill Ghom</t>
  </si>
  <si>
    <t>X1_Bounty_A3_Battlefields_Event_Triage.qst</t>
  </si>
  <si>
    <t>Bounty: The Triage</t>
  </si>
  <si>
    <t>X1_Bounty_A3_Battlefields_Event_TideOfBattle.qst</t>
  </si>
  <si>
    <t>Bounty: Tide of Battle</t>
  </si>
  <si>
    <t>X1_Bounty_A3_Battlefields_Event_BlazeOfGlory.qst</t>
  </si>
  <si>
    <t>Bounty: Blaze of Glory</t>
  </si>
  <si>
    <t>X1_Bounty_A3_Battlefields_Event_CrazyClimber.qst</t>
  </si>
  <si>
    <t>Bounty: Crazy Climber</t>
  </si>
  <si>
    <t>X1_Bounty_A3_Battlefields_Clear_CrydersOutpost.qst</t>
  </si>
  <si>
    <t>Bounty: Clear Cryder's Outpost</t>
  </si>
  <si>
    <t>X1_Bounty_A3_Battlefields_Clear_CavernsOfFrost2.qst</t>
  </si>
  <si>
    <t>Bounty: Clear the Caverns of Frost</t>
  </si>
  <si>
    <t>X1_Bounty_A3_Battlefields_Clear_IcefallCaves2.qst</t>
  </si>
  <si>
    <t>Bounty: Clear the Icefall Caves</t>
  </si>
  <si>
    <t>X1_Bounty_A3_Battlefields_Kill_Groak.qst</t>
  </si>
  <si>
    <t>Bounty: Kill Groak the Brawler</t>
  </si>
  <si>
    <t>X1_Bounty_A3_Battlefields_Kill_Mehshak.qst</t>
  </si>
  <si>
    <t>Bounty: Kill Mehshak the Abomination</t>
  </si>
  <si>
    <t>X1_Bounty_A3_Battlefields_Kill_Shertik.qst</t>
  </si>
  <si>
    <t>Bounty: Kill Shertik the Brute</t>
  </si>
  <si>
    <t>X1_Bounty_A3_Battlefields_Kill_Emberwing.qst</t>
  </si>
  <si>
    <t>Bounty: Kill Emberwing</t>
  </si>
  <si>
    <t>X1_Bounty_A3_Battlefields_Kill_Garganug.qst</t>
  </si>
  <si>
    <t>Bounty: Kill Garganug</t>
  </si>
  <si>
    <t>X1_Bounty_A3_Crater_Kill_Hyrug.qst</t>
  </si>
  <si>
    <t>Bounty: Kill Hyrug the Malformed</t>
  </si>
  <si>
    <t>X1_Bounty_A3_Crater_Kill_Maggrus.qst</t>
  </si>
  <si>
    <t>Bounty: Kill Maggrus the Savage</t>
  </si>
  <si>
    <t>X1_Bounty_A3_Crater_Kill_Charuch.qst</t>
  </si>
  <si>
    <t>Bounty: Kill Charuch the Spear</t>
  </si>
  <si>
    <t>X1_Bounty_A3_Crater_Kill_Mhawgann.qst</t>
  </si>
  <si>
    <t>Bounty: Kill Mhawgann the Unholy</t>
  </si>
  <si>
    <t>X1_Bounty_A3_Crater_Kill_Severclaw.qst</t>
  </si>
  <si>
    <t xml:space="preserve">Bounty: Kill Severclaw </t>
  </si>
  <si>
    <t>X1_Bounty_A3_Crater_Kill_Valifahr.qst</t>
  </si>
  <si>
    <t>Bounty: Kill Valifahr the Noxious</t>
  </si>
  <si>
    <t>X1_Bounty_A3_Crater_Kill_Demonika.qst</t>
  </si>
  <si>
    <t>Bounty: Kill Demonika the Wicked</t>
  </si>
  <si>
    <t>X1_Bounty_A3_Crater_Kill_Axgore.qst</t>
  </si>
  <si>
    <t>Bounty: Kill Axgore the Cleaver</t>
  </si>
  <si>
    <t>X1_Bounty_A3_Crater_Kill_Brimstone.qst</t>
  </si>
  <si>
    <t>Bounty: Kill Brimstone</t>
  </si>
  <si>
    <t>X1_Bounty_A1_LeoricsDungeon_Event_ReputationRestored.qst</t>
  </si>
  <si>
    <t>Bounty: A Reputation Restored</t>
  </si>
  <si>
    <t>X1_Bounty_A1_LeoricsDungeon_Kill_Battlerage.qst</t>
  </si>
  <si>
    <t>Bounty: Kill Battlerage the Plagued</t>
  </si>
  <si>
    <t>X1_Bounty_A1_LeoricsDungeon_Kill_Treefist.qst</t>
  </si>
  <si>
    <t>Bounty: Kill Treefist Woodhead</t>
  </si>
  <si>
    <t>X1_Bounty_A1_LeoricsDungeon_Kill_Boneslag.qst</t>
  </si>
  <si>
    <t>Bounty: Kill Boneslag the Berserker</t>
  </si>
  <si>
    <t>X1_Bounty_A1_LeoricsDungeon_Kill_CultistGrandInquisitor.qst</t>
  </si>
  <si>
    <t>Bounty: Kill the Cultist Grand Inquisitor</t>
  </si>
  <si>
    <t>X1_Bounty_A1_LeoricsDungeon_Kill_Warden.qst</t>
  </si>
  <si>
    <t>Bounty: Kill the Warden</t>
  </si>
  <si>
    <t>X1_Bounty_A1_LeoricsDungeon_Kill_Butcher.qst</t>
  </si>
  <si>
    <t>Bounty: Kill the Butcher</t>
  </si>
  <si>
    <t>X1_Bounty_A1_FesteringWoods_Kill_HawthorneGable.qst</t>
  </si>
  <si>
    <t>Bounty: Kill Hawthorne Gable</t>
  </si>
  <si>
    <t>X1_Bounty_A1_FesteringWoods_Kill_FecklarsGhost.qst</t>
  </si>
  <si>
    <t>Bounty: Kill Fecklar's Ghost</t>
  </si>
  <si>
    <t>X1_Bounty_A1_Fields_Event_FamilyRathe.qst</t>
  </si>
  <si>
    <t>Bounty: The Family of Rathe</t>
  </si>
  <si>
    <t>X1_Bounty_A1_Fields_Event_PreciousOres.qst</t>
  </si>
  <si>
    <t>Bounty: The Precious Ores</t>
  </si>
  <si>
    <t>X1_Bounty_A1_Fields_Event_FarmBesieged.qst</t>
  </si>
  <si>
    <t>Bounty: A Farm Besieged</t>
  </si>
  <si>
    <t>X1_Bounty_A1_Fields_Clear_KhazraDen.qst</t>
  </si>
  <si>
    <t>Bounty: Clear Khazra Den</t>
  </si>
  <si>
    <t>X1_Bounty_A1_Fields_Kill_Charger.qst</t>
  </si>
  <si>
    <t>Bounty: Kill Charger</t>
  </si>
  <si>
    <t>X1_Bounty_A1_Fields_Kill_Dreadclaw.qst</t>
  </si>
  <si>
    <t>Bounty: Kill Dreadclaw the Leaper</t>
  </si>
  <si>
    <t>X1_Bounty_A1_Fields_Kill_OldMan.qst</t>
  </si>
  <si>
    <t>X1_Bounty_A1_Fields_Kill_Odeg.qst</t>
  </si>
  <si>
    <t>Bounty: Kill Odeg the Keywarden</t>
  </si>
  <si>
    <t>X1_Bounty_A1_Cemetery_Kill_Lucious.qst</t>
  </si>
  <si>
    <t>Bounty: Kill Lucious the Depraved</t>
  </si>
  <si>
    <t>X1_Bounty_A1_Cemetery_Kill_Drury.qst</t>
  </si>
  <si>
    <t>Bounty: Kill Drury Brown</t>
  </si>
  <si>
    <t>X1_Bounty_A1_Cemetery_Kill_JohnGorhamCoffin.qst</t>
  </si>
  <si>
    <t>Bounty: Kill John Gorham Coffin</t>
  </si>
  <si>
    <t>X1_Bounty_A1_Cemetery_Kill_Dataminer.qst</t>
  </si>
  <si>
    <t>Bounty: Kill the Dataminer</t>
  </si>
  <si>
    <t>X1_Bounty_A1_Cemetery_Kill_DiggerODell.qst</t>
  </si>
  <si>
    <t>Bounty: Kill Digger O'Dell</t>
  </si>
  <si>
    <t>X1_Bounty_A1_Wilderness_Kill_MiraEamon.qst</t>
  </si>
  <si>
    <t>Bounty: Kill Mira Eamon</t>
  </si>
  <si>
    <t>X1_Bounty_A2_HowlingPlateau_Event_LacuniLair.qst</t>
  </si>
  <si>
    <t>Bounty: Lair of the Lacuni</t>
  </si>
  <si>
    <t>X1_Bounty_A2_HowlingPlateau_Clear_SiroccoCaverns2.qst</t>
  </si>
  <si>
    <t>Bounty: Clear Sirocco Caverns</t>
  </si>
  <si>
    <t>X1_Bounty_A2_HowlingPlateau_Kill_Gart.qst</t>
  </si>
  <si>
    <t>Bounty: Kill Gart the Mad</t>
  </si>
  <si>
    <t>X1_Bounty_A2_HowlingPlateau_Kill_Hemit.qst</t>
  </si>
  <si>
    <t>Bounty: Kill Hemit</t>
  </si>
  <si>
    <t>X1_Bounty_A2_Alcarnus_Kill_Maghda.qst</t>
  </si>
  <si>
    <t>Bounty: Kill Maghda</t>
  </si>
  <si>
    <t>X1_Bounty_A2_Alcarnus_Kill_Yeth.qst</t>
  </si>
  <si>
    <t>Bounty: Kill Yeth</t>
  </si>
  <si>
    <t>X1_Bounty_A2_Alcarnus_Kill_HighPriestMurdos.qst</t>
  </si>
  <si>
    <t>Bounty: Kill High Cultist Murdos</t>
  </si>
  <si>
    <t>X1_Bounty_A2_Alcarnus_Kill_Jhorum.qst</t>
  </si>
  <si>
    <t>Bounty: Kill Jhorum the Cleric</t>
  </si>
  <si>
    <t>X1_Bounty_A2_Alcarnus_Kill_Sammash.qst</t>
  </si>
  <si>
    <t>Bounty: Kill Sammash</t>
  </si>
  <si>
    <t>X1_Bounty_A2_Oasis_Event_SardarsTreasure.qst</t>
  </si>
  <si>
    <t>Bounty: Sardar's Treasure</t>
  </si>
  <si>
    <t>X1_Bounty_A2_Oasis_Event_PrisonersOfKamyr.qst</t>
  </si>
  <si>
    <t>Bounty: Prisoners of Kamyr</t>
  </si>
  <si>
    <t>X1_Bounty_A2_Oasis_Clear_MysteriousCave2.qst</t>
  </si>
  <si>
    <t>Bounty: Clear the Mysterious Cave</t>
  </si>
  <si>
    <t>X1_Bounty_A2_Oasis_Kill_Bashiok.qst</t>
  </si>
  <si>
    <t>Bounty: Kill Bashiok</t>
  </si>
  <si>
    <t>X1_Bounty_A2_Oasis_Kill_Torsar.qst</t>
  </si>
  <si>
    <t>Bounty: Kill Torsar</t>
  </si>
  <si>
    <t>X1_Bounty_A2_Boneyards_Kill_Plagar.qst</t>
  </si>
  <si>
    <t>Bounty: Kill Plagar the Damned</t>
  </si>
  <si>
    <t>X1_Bounty_A2_Boneyards_Kill_NineToads.qst</t>
  </si>
  <si>
    <t>Bounty: Kill Nine Toads</t>
  </si>
  <si>
    <t>X1_Bounty_A2_Boneyards_Kill_Pazuzu.qst</t>
  </si>
  <si>
    <t>Bounty: Kill Pazuzu</t>
  </si>
  <si>
    <t>X1_Bounty_A2_ZKArchives_Kill_Rockgut.qst</t>
  </si>
  <si>
    <t>Bounty: Kill Rockgut</t>
  </si>
  <si>
    <t>X1_Bounty_A2_ZKArchives_Kill_MageLordCaustus.qst</t>
  </si>
  <si>
    <t>Bounty: Kill Mage Lord Caustus</t>
  </si>
  <si>
    <t>X1_Bounty_A2_ZKArchives_Kill_MageLordFlaydren.qst</t>
  </si>
  <si>
    <t>Bounty: Kill Mage Lord Flaydren</t>
  </si>
  <si>
    <t>X1_Bounty_A2_ZKArchives_Kill_ZoltunKulle.qst</t>
  </si>
  <si>
    <t>Bounty: Kill Zoltun Kulle</t>
  </si>
  <si>
    <t>X1_Bounty_A1_Cemetery_Event_JarOfSouls.qst</t>
  </si>
  <si>
    <t>Bounty: The Jar of Souls</t>
  </si>
  <si>
    <t>X1_Bounty_A1_Cemetery_Event_MatriarchsBones.qst</t>
  </si>
  <si>
    <t>Bounty: The Matriarch's Bones</t>
  </si>
  <si>
    <t>X1_Bounty_A1_LeoricsDungeon_Kill_Sotnob.qst</t>
  </si>
  <si>
    <t>Bounty: Kill Sotnob the Fool</t>
  </si>
  <si>
    <t>X1_Bounty_A3_KeepDepths_Kill_Axegrave.qst</t>
  </si>
  <si>
    <t>Bounty: Kill Axegrave the Executioner</t>
  </si>
  <si>
    <t>X1_Bounty_A3_KeepDepths_Kill_Lashtongue.qst</t>
  </si>
  <si>
    <t>Bounty: Kill Lashtongue</t>
  </si>
  <si>
    <t>X1_Bounty_A3_KeepDepths_Kill_Aloysius.qst</t>
  </si>
  <si>
    <t>Bounty: Kill Aloysius the Ghastly</t>
  </si>
  <si>
    <t>X1_Bounty_A3_KeepDepths_Kill_ViciousGrayTurkey.qst</t>
  </si>
  <si>
    <t>Bounty: Kill the Vicious Gray Turkey</t>
  </si>
  <si>
    <t>X1_Bounty_A3_Battlefields_Event_BloodTies.qst</t>
  </si>
  <si>
    <t>Bounty: Blood Ties</t>
  </si>
  <si>
    <t>X1_Bounty_A3_Battlefields_Clear_ForwardBarracks.qst</t>
  </si>
  <si>
    <t>Bounty: Clear the Forward Barracks</t>
  </si>
  <si>
    <t>X1_Bounty_A3_Battlefields_Clear_FortifiedBunker2.qst</t>
  </si>
  <si>
    <t>Bounty: Clear the Fortified Bunker</t>
  </si>
  <si>
    <t>X1_Bounty_A3_Battlefields_Clear_BattlefieldStores2.qst</t>
  </si>
  <si>
    <t>Bounty: Clear the Battlefield Stores Level 2</t>
  </si>
  <si>
    <t>X1_Bounty_A3_Battlefields_Clear_TheFoundry2.qst</t>
  </si>
  <si>
    <t>Bounty: Clear the Foundry</t>
  </si>
  <si>
    <t>X1_Bounty_A3_Battlefields_Clear_TheUnderbridge.qst</t>
  </si>
  <si>
    <t>Bounty: Clear the Underbridge</t>
  </si>
  <si>
    <t>X1_Bounty_A3_Battlefields_Clear_TheBarracks2.qst</t>
  </si>
  <si>
    <t>Bounty: Clear the Barracks</t>
  </si>
  <si>
    <t>X1_Bounty_A3_Battlefields_Kill_Dreadgrasp.qst</t>
  </si>
  <si>
    <t>Bounty: Kill Dreadgrasp</t>
  </si>
  <si>
    <t>X1_Bounty_A3_Battlefields_Kill_Ghallem.qst</t>
  </si>
  <si>
    <t>Bounty: Kill Ghallem the Cruel</t>
  </si>
  <si>
    <t>X1_Bounty_A3_Battlefields_Kill_Direclaw.qst</t>
  </si>
  <si>
    <t>Bounty: Kill Direclaw the Demonflyer</t>
  </si>
  <si>
    <t>X1_Bounty_A3_Battlefields_Kill_ShandraHar.qst</t>
  </si>
  <si>
    <t>Bounty: Kill Shandra'Har</t>
  </si>
  <si>
    <t>X1_Bounty_A3_Battlefields_Kill_Chiltara.qst</t>
  </si>
  <si>
    <t>Bounty: Kill Chiltara</t>
  </si>
  <si>
    <t>X1_Bounty_A3_Crater_Kill_Brutu.qst</t>
  </si>
  <si>
    <t>Bounty: Kill Brutu</t>
  </si>
  <si>
    <t>X1_Bounty_A3_Crater_Kill_Scorpitox.qst</t>
  </si>
  <si>
    <t>Bounty: Kill Scorpitox</t>
  </si>
  <si>
    <t>X1_Bounty_A3_Crater_Kill_Gorog.qst</t>
  </si>
  <si>
    <t>Bounty: Kill Gorog the Bruiser</t>
  </si>
  <si>
    <t>X1_Bounty_A3_Crater_Kill_Sawtooth.qst</t>
  </si>
  <si>
    <t>Bounty: Kill Sawtooth</t>
  </si>
  <si>
    <t>X1_Bounty_A3_Crater_Kill_Gormungandr.qst</t>
  </si>
  <si>
    <t>Bounty: Kill Gormungandr</t>
  </si>
  <si>
    <t>X1_Bounty_A3_Crater_Kill_Crabbs.qst</t>
  </si>
  <si>
    <t>Bounty: Kill Crabbs</t>
  </si>
  <si>
    <t>X1_Bounty_A3_Crater_Kill_Riplash.qst</t>
  </si>
  <si>
    <t>Bounty: Kill Riplash</t>
  </si>
  <si>
    <t>X1_Bounty_A3_Crater_Kill_Gholash.qst</t>
  </si>
  <si>
    <t>Bounty: Kill Gholash</t>
  </si>
  <si>
    <t>X1_Bounty_A3_Crater_Kill_Haxxor.qst</t>
  </si>
  <si>
    <t>Bounty: Kill Haxxor</t>
  </si>
  <si>
    <t>Bounty: Kill the Siegebreaker Assault Beast</t>
  </si>
  <si>
    <t>X1_Bounty_A3_Crater_Kill_Azmodan.qst</t>
  </si>
  <si>
    <t>Bounty: Kill Azmodan</t>
  </si>
  <si>
    <t>X1_Bounty_A4_GardensOfHope_Kill_OohTash.qst</t>
  </si>
  <si>
    <t>Bounty: Kill Oah' Tash</t>
  </si>
  <si>
    <t>X1_Bounty_A4_GardensOfHope_Kill_KaoAhn.qst</t>
  </si>
  <si>
    <t>Bounty: Kill Kao' Ahn</t>
  </si>
  <si>
    <t>X1_Bounty_A4_GardensOfHope_Kill_Torchlighter.qst</t>
  </si>
  <si>
    <t>Bounty: Kill Torchlighter</t>
  </si>
  <si>
    <t>X1_Bounty_A4_GardensOfHope_Kill_Khatun.qst</t>
  </si>
  <si>
    <t>Bounty: Kill Khatun</t>
  </si>
  <si>
    <t>X1_Bounty_A4_GardensOfHope_Kill_Veshan.qst</t>
  </si>
  <si>
    <t>Bounty: Kill Veshan the Fierce</t>
  </si>
  <si>
    <t>X1_Bounty_A4_GardensOfHope_Kill_Rakanoth.qst</t>
  </si>
  <si>
    <t>Bounty: Kill Rakanoth</t>
  </si>
  <si>
    <t>X1_Bounty_A4_Spire_Kill_Haures.qst</t>
  </si>
  <si>
    <t>Bounty: Kill Haures</t>
  </si>
  <si>
    <t>X1_Bounty_A4_Spire_Kill_Grimnight.qst</t>
  </si>
  <si>
    <t>Bounty: Kill Grimnight the Soulless</t>
  </si>
  <si>
    <t>X1_Bounty_A4_Spire_Kill_SaoThall.qst</t>
  </si>
  <si>
    <t>Bounty: Kill Sao'Thall</t>
  </si>
  <si>
    <t>X1_Bounty_A4_Spire_Kill_Kysindra.qst</t>
  </si>
  <si>
    <t>Bounty: Kill Kysindra the Wretched</t>
  </si>
  <si>
    <t>X1_Bounty_A4_Spire_Kill_Pyres.qst</t>
  </si>
  <si>
    <t>Bounty: Kill Pyres the Damned</t>
  </si>
  <si>
    <t>X1_Bounty_A4_Spire_Kill_Slarg.qst</t>
  </si>
  <si>
    <t>Bounty: Kill Slarg the Behemoth</t>
  </si>
  <si>
    <t>X1_Bounty_A4_Spire_Kill_RhauKye.qst</t>
  </si>
  <si>
    <t>Bounty: Kill Rhau'Kye</t>
  </si>
  <si>
    <t>X1_Bounty_A4_Spire_Kill_Nekarat.qst</t>
  </si>
  <si>
    <t>X1_Bounty_A4_Spire_Kill_Diablo.qst</t>
  </si>
  <si>
    <t>Bounty: Kill Diablo</t>
  </si>
  <si>
    <t>X1_Bounty_A3_Crater_Kill_Snitchley.qst</t>
  </si>
  <si>
    <t>X1_Bounty_A3_KeepDepths_Kill_Bholen.qst</t>
  </si>
  <si>
    <t>Bounty: Kill Bholen</t>
  </si>
  <si>
    <t>X1_Bounty_A1_Highlands_Northern_Event_VendorRescue.qst</t>
  </si>
  <si>
    <t>Bounty: Apothecary's Brother</t>
  </si>
  <si>
    <t>X1_Bounty_A2_StingingWinds_Clear_TheRuins2.qst</t>
  </si>
  <si>
    <t>Bounty: Clear the Ruins</t>
  </si>
  <si>
    <t>X1_Bounty_A2_StingingWinds_Event_CrumblingVault.qst</t>
  </si>
  <si>
    <t>Bounty: The Crumbling Vault</t>
  </si>
  <si>
    <t>X1_Bounty_A2_StingingWinds_Event_GuardianSpirits.qst</t>
  </si>
  <si>
    <t>Bounty: The Guardian Spirits</t>
  </si>
  <si>
    <t>X1_Bounty_A2_StingingWinds_Event_RestlessSands.qst</t>
  </si>
  <si>
    <t>Bounty: Restless Sands</t>
  </si>
  <si>
    <t>X1_Bounty_A2_StingingWinds_Event_RygnarIdol.qst</t>
  </si>
  <si>
    <t>Bounty: Rygnar Idol</t>
  </si>
  <si>
    <t>X1_Bounty_A2_Boneyards_Kill_MageLordMisgen.qst</t>
  </si>
  <si>
    <t>Bounty: Kill Mage Lord Misgen</t>
  </si>
  <si>
    <t>X1_Bounty_A1_Fields_Kill_Rockmaw.qst</t>
  </si>
  <si>
    <t>X1_Bounty_A2_StingingWinds_Kill_InquisitorHamath.qst</t>
  </si>
  <si>
    <t>Bounty: Kill Inquisitor Hamath</t>
  </si>
  <si>
    <t>X1_Bounty_A5_Bog_Kill_Vilepaw.qst</t>
  </si>
  <si>
    <t>Bounty: Kill Vilepaw</t>
  </si>
  <si>
    <t>漫水古道</t>
  </si>
  <si>
    <t>X1_Bounty_A3_Battlefields_Kill_Lummock.qst</t>
  </si>
  <si>
    <t>Bounty: Kill Lummock the Brute</t>
  </si>
  <si>
    <t>X1_Bounty_A3_Crater_Kill_Growlfang.qst</t>
  </si>
  <si>
    <t>Bounty: Kill Growlfang</t>
  </si>
  <si>
    <t>X1_Bounty_A3_Battlefields_Kill_DemonicBallistae.qst</t>
  </si>
  <si>
    <t>X1_Bounty_A4_GardensOfHope_Kill_AspectAnguish.qst</t>
  </si>
  <si>
    <t>Bounty: Kill the Aspect of Anguish</t>
  </si>
  <si>
    <t>X1_Bounty_A4_GardensOfHope_Kill_AspectPain.qst</t>
  </si>
  <si>
    <t>Bounty: Kill the Aspect of Pain</t>
  </si>
  <si>
    <t>X1_Bounty_A4_GardensOfHope_Kill_AspectDestruction.qst</t>
  </si>
  <si>
    <t>Bounty: Kill the Aspect of Destruction</t>
  </si>
  <si>
    <t>X1_Bounty_A4_Spire_Kill_AspectHatred.qst</t>
  </si>
  <si>
    <t>Bounty: Kill the Aspect of Hatred</t>
  </si>
  <si>
    <t>X1_Bounty_A4_Spire_Kill_AspectLies.qst</t>
  </si>
  <si>
    <t>Bounty: Kill the Aspect of Lies</t>
  </si>
  <si>
    <t>X1_Bounty_A4_Spire_Kill_AspectSin.qst</t>
  </si>
  <si>
    <t>Bounty: Kill the Aspect of Sin</t>
  </si>
  <si>
    <t>X1_Bounty_A4_Spire_Kill_AspectTerror.qst</t>
  </si>
  <si>
    <t>Bounty: Kill the Aspect of Terror</t>
  </si>
  <si>
    <t>X1_Bounty_A2_Caldeum_Kill_Belial.qst</t>
  </si>
  <si>
    <t>Bounty: Kill Belial</t>
  </si>
  <si>
    <t>X1_Bounty_A5_Graveyard_Event_Cryptology.qst</t>
  </si>
  <si>
    <t>Bounty: Cryptology</t>
  </si>
  <si>
    <t>X1_Bounty_A5_Graveyard_Event_UndeadHusband.qst</t>
  </si>
  <si>
    <t>Bounty: Penny for Your Troubles</t>
  </si>
  <si>
    <t>X1_Bounty_A5_Graveyard_Event_SoldierHoldout.qst</t>
  </si>
  <si>
    <t>Bounty: Grave Situation</t>
  </si>
  <si>
    <t>X1_Bounty_A5_Graveyard_Event_GraveRobert.qst</t>
  </si>
  <si>
    <t>Bounty: Grave Robert</t>
  </si>
  <si>
    <t>X1_Bounty_A5_Graveyard_Event_AltarOfSadness.qst</t>
  </si>
  <si>
    <t>Bounty: Altar of Sadness</t>
  </si>
  <si>
    <t>X1_Bounty_A5_Graveyard_Kill_Erdith.qst</t>
  </si>
  <si>
    <t>Bounty: Kill Erdith</t>
  </si>
  <si>
    <t>X1_Bounty_A5_Bog_Event_Wickerman.qst</t>
  </si>
  <si>
    <t>Bounty: The Burning Man</t>
  </si>
  <si>
    <t>X1_Bounty_A5_Bog_Event_AngryBats.qst</t>
  </si>
  <si>
    <t>X1_Bounty_A5_Bog_Event_LordOfFools.qst</t>
  </si>
  <si>
    <t>Bounty: Lord of Fools</t>
  </si>
  <si>
    <t>X1_Bounty_A5_Bog_Event_KingOfTheHill.qst</t>
  </si>
  <si>
    <t>Bounty: The Lord of the Hill</t>
  </si>
  <si>
    <t>X1_Bounty_A5_Bog_Kill_Lurk.qst</t>
  </si>
  <si>
    <t>X1_Bounty_A5_Westmarch_Event_TheAngeredDead.qst</t>
  </si>
  <si>
    <t>Bounty: The Angered Dead</t>
  </si>
  <si>
    <t>威斯特玛城中区</t>
  </si>
  <si>
    <t>X1_Bounty_A5_Westmarch_Event_TheHarvest.qst</t>
  </si>
  <si>
    <t>X1_Bounty_A5_Westmarch_Event_TouchOfDeath.qst</t>
  </si>
  <si>
    <t>Bounty: Touch of Death</t>
  </si>
  <si>
    <t>X1_Bounty_A5_Westmarch_Event_WalkInThePark.qst</t>
  </si>
  <si>
    <t>Bounty: Walk in the Park</t>
  </si>
  <si>
    <t>X1_Bounty_A5_Westmarch_Event_TollifersLastStand.qst</t>
  </si>
  <si>
    <t>Bounty: Tollifer's Last Stand</t>
  </si>
  <si>
    <t>X1_Bounty_A5_Westmarch_Kill_Pontius.qst</t>
  </si>
  <si>
    <t>X1_Bounty_A5_Westmarch_Kill_Kago.qst</t>
  </si>
  <si>
    <t>X1_Bounty_A5_PandExt_Kill_Sartor.qst</t>
  </si>
  <si>
    <t>永恒战场</t>
  </si>
  <si>
    <t>X1_Bounty_A5_WestmarchFire_Kill_LurkingSkeletalCaptain.qst</t>
  </si>
  <si>
    <t>威斯特玛上城区</t>
  </si>
  <si>
    <t>X1_Bounty_A5_WestmarchFire_Kill_Ghrentuloth.qst</t>
  </si>
  <si>
    <t>X1_Bounty_A5_WestmarchFire_Event_BrutelyUnfortunate.qst</t>
  </si>
  <si>
    <t>Bounty: Out of the Fire</t>
  </si>
  <si>
    <t>X1_Bounty_A5_RuinsOfCorvus_Event_NephalemTreasure.qst</t>
  </si>
  <si>
    <t>科乌斯废墟</t>
  </si>
  <si>
    <t>X1_Bounty_A5_RuinsOfCorvus_Event_TheGoldenChamber.qst</t>
  </si>
  <si>
    <t>Bounty: The Golden Chamber</t>
  </si>
  <si>
    <t>往科乌斯之路</t>
  </si>
  <si>
    <t>X1_Bounty_A5_PathToCorvus_Kill_Kalmor.qst</t>
  </si>
  <si>
    <t>X1_Bounty_A5_RuinsOfCorvus_Kill_Adria.qst</t>
  </si>
  <si>
    <t>Bounty: Kill Adria</t>
  </si>
  <si>
    <t>Bounty: Kill Urzael</t>
  </si>
  <si>
    <t>X1_Bounty_A5_PandFortress_Kill_Malthael.qst</t>
  </si>
  <si>
    <t>Bounty: Kill Malthael</t>
  </si>
  <si>
    <t>混沌要塞二层</t>
  </si>
  <si>
    <t>X1_Bounty_A5_PandFortress_Event_BrutalAssault.qst</t>
  </si>
  <si>
    <t>Bounty: Brutal Assault</t>
  </si>
  <si>
    <t>混沌要塞一层</t>
  </si>
  <si>
    <t>X1_Bounty_A1_Cathedral_Kill_SkeletonKing.qst</t>
  </si>
  <si>
    <t>Bounty: Kill the Skeleton King</t>
  </si>
  <si>
    <t>X1_Bounty_A1_Cathedral_Kill_Ragus.qst</t>
  </si>
  <si>
    <t>Bounty: Kill Ragus Grimlow</t>
  </si>
  <si>
    <t>X1_Bounty_A1_Cathedral_Kill_Braluk.qst</t>
  </si>
  <si>
    <t>Bounty: Kill Braluk Grimlow</t>
  </si>
  <si>
    <t>X1_Bounty_A1_Cathedral_Kill_Glidewing.qst</t>
  </si>
  <si>
    <t>Bounty: Kill Glidewing</t>
  </si>
  <si>
    <t>X1_Bounty_A1_Cathedral_Kill_Merrium.qst</t>
  </si>
  <si>
    <t>Bounty: Kill Merrium Skullthorn</t>
  </si>
  <si>
    <t>X1_Bounty_A1_Cathedral_Kill_Cudgelarm.qst</t>
  </si>
  <si>
    <t>Bounty: Kill Cudgelarm</t>
  </si>
  <si>
    <t>X1_Bounty_A1_Cathedral_Kill_Firestarter.qst</t>
  </si>
  <si>
    <t>Bounty: Kill Firestarter</t>
  </si>
  <si>
    <t>X1_Bounty_A1_Cathedral_Kill_CaptainCage.qst</t>
  </si>
  <si>
    <t>Bounty: Kill Captain Cage</t>
  </si>
  <si>
    <t>X1_Bounty_A1_Cathedral_Kill_Killian.qst</t>
  </si>
  <si>
    <t>Bounty: Kill Killian Damort</t>
  </si>
  <si>
    <t>X1_Bounty_A1_Cathedral_Kill_Bellybloat.qst</t>
  </si>
  <si>
    <t>Bounty: Kill Bellybloat the Scarred</t>
  </si>
  <si>
    <t>X1_Bounty_A1_Cathedral_Kill_Radnoj.qst</t>
  </si>
  <si>
    <t>Bounty: Kill Rad'noj</t>
  </si>
  <si>
    <t>X1_Bounty_A1_Cathedral_Kill_CaptainClegg.qst</t>
  </si>
  <si>
    <t>Bounty: Kill Captain Clegg</t>
  </si>
  <si>
    <t>Bounty: Kill Izual</t>
  </si>
  <si>
    <t>X1_Bounty_A4_HellRift_Clear_HellRift2.qst</t>
  </si>
  <si>
    <t>Bounty: Clear the Hell Rift</t>
  </si>
  <si>
    <t>X1_Bounty_A5_Bog_Kill_Corellus.qst</t>
  </si>
  <si>
    <t>X1_Bounty_A5_Bog_Kill_Morghum.qst</t>
  </si>
  <si>
    <t>Bounty: Kill Morghum the Beast</t>
  </si>
  <si>
    <t>X1_Bounty_A5_Bog_Kill_Fangbite.qst</t>
  </si>
  <si>
    <t>Bounty: Kill Fangbite</t>
  </si>
  <si>
    <t>X1_Bounty_A5_Bog_Kill_Slinger.qst</t>
  </si>
  <si>
    <t>Bounty: Kill Slinger</t>
  </si>
  <si>
    <t>X1_Bounty_A5_Bog_Kill_Almash.qst</t>
  </si>
  <si>
    <t>Bounty: Kill Almash the Grizzly</t>
  </si>
  <si>
    <t>X1_Bounty_A5_Bog_Kill_Tadardya.qst</t>
  </si>
  <si>
    <t>Bounty: Kill Tadardya</t>
  </si>
  <si>
    <t>X1_Bounty_A5_PathToCorvus_Kill_VekTabok.qst</t>
  </si>
  <si>
    <t>Bounty: Kill Vek Tabok</t>
  </si>
  <si>
    <t>X1_Bounty_A5_PathToCorvus_Kill_VekMarru.qst</t>
  </si>
  <si>
    <t>Bounty: Kill Vek Marru</t>
  </si>
  <si>
    <t>X1_Bounty_A5_RuinsOfCorvus_Kill_NakSarugg.qst</t>
  </si>
  <si>
    <t>Bounty: Kill Nak Sarugg</t>
  </si>
  <si>
    <t>X1_Bounty_A5_RuinsOfCorvus_Kill_NakQujin.qst</t>
  </si>
  <si>
    <t>Bounty: Kill Nak Qujin</t>
  </si>
  <si>
    <t>X1_Bounty_A5_RuinsOfCorvus_Kill_BariHattar.qst</t>
  </si>
  <si>
    <t>Bounty: Kill Bari Hattar</t>
  </si>
  <si>
    <t>X1_Bounty_A5_RuinsOfCorvus_Kill_BariMoqqu.qst</t>
  </si>
  <si>
    <t>Bounty: Kill Bari Moqqu</t>
  </si>
  <si>
    <t>X1_Bounty_A5_Westmarch_Kill_Getzlord.qst</t>
  </si>
  <si>
    <t>X1_Bounty_A5_Westmarch_Kill_Yergacheph.qst</t>
  </si>
  <si>
    <t>Bounty: Kill Yergacheph</t>
  </si>
  <si>
    <t>X1_Bounty_A5_Westmarch_Kill_KatherineBatts.qst</t>
  </si>
  <si>
    <t>Bounty: Kill Katherine Batts</t>
  </si>
  <si>
    <t>X1_Bounty_A5_Westmarch_Kill_Matanzas.qst</t>
  </si>
  <si>
    <t>Bounty: Kill Matanzas the Loathsome</t>
  </si>
  <si>
    <t>X1_Bounty_A5_Graveyard_Kill_Necrosys.qst</t>
  </si>
  <si>
    <t>Bounty: Kill Hedros</t>
  </si>
  <si>
    <t>X1_Bounty_A5_Graveyard_Kill_Purah.qst</t>
  </si>
  <si>
    <t>Bounty: Kill Purah</t>
  </si>
  <si>
    <t>X1_Bounty_A5_Graveyard_Kill_Targerious.qst</t>
  </si>
  <si>
    <t>Bounty: Kill Targerious</t>
  </si>
  <si>
    <t>X1_Bounty_A5_WestmarchFire_Kill_Micheboar.qst</t>
  </si>
  <si>
    <t>Bounty: Kill Micheboar</t>
  </si>
  <si>
    <t>X1_Bounty_A5_WestmarchFire_Kill_Theodosia.qst</t>
  </si>
  <si>
    <t>Bounty: Kill Theodosia Buhre</t>
  </si>
  <si>
    <t>X1_Bounty_A5_WestmarchFire_Kill_Sumaryss.qst</t>
  </si>
  <si>
    <t>Bounty: Kill Sumaryss the Damned</t>
  </si>
  <si>
    <t>X1_Bounty_A5_PandExt_Kill_Rockulus.qst</t>
  </si>
  <si>
    <t>Bounty: Kill Rockulus</t>
  </si>
  <si>
    <t>X1_Bounty_A5_PandExt_Kill_Obsidious.qst</t>
  </si>
  <si>
    <t>Bounty: Kill Obsidious</t>
  </si>
  <si>
    <t>X1_Bounty_A5_PandExt_Kill_Slarth.qst</t>
  </si>
  <si>
    <t>Bounty: Kill Slarth the Tunneler</t>
  </si>
  <si>
    <t>X1_Bounty_A5_PandExt_Kill_Burrask.qst</t>
  </si>
  <si>
    <t>Bounty: Kill Burrask the Tunneler</t>
  </si>
  <si>
    <t>X1_Bounty_A5_PandExt_Kill_Watareus.qst</t>
  </si>
  <si>
    <t>Bounty: Kill Watareus</t>
  </si>
  <si>
    <t>X1_Bounty_A5_PandExt_Kill_Baethus.qst</t>
  </si>
  <si>
    <t>Bounty: Kill Baethus</t>
  </si>
  <si>
    <t>X1_Bounty_A5_PandExt_Event_SiegeDistraction.qst</t>
  </si>
  <si>
    <t>Bounty: A Diversion</t>
  </si>
  <si>
    <t>X1_Bounty_A5_PandExt_Event_TheGreatWeapon.qst</t>
  </si>
  <si>
    <t>Bounty: The Great Weapon</t>
  </si>
  <si>
    <t>X1_Bounty_A5_PandExt_Event_TheHive.qst</t>
  </si>
  <si>
    <t>Bounty: The Hive</t>
  </si>
  <si>
    <t>X1_Bounty_A5_PandFortress_Event_Fortified.qst</t>
  </si>
  <si>
    <t>Bounty: The Crystal Prison</t>
  </si>
  <si>
    <t>X1_Bounty_A5_PandFortress_Event_AncientPrison.qst</t>
  </si>
  <si>
    <t>Bounty: Ancient Prison</t>
  </si>
  <si>
    <t>X1_Bounty_A5_PandFortress_Event_DemonPrison.qst</t>
  </si>
  <si>
    <t>Bounty: Demon Prison</t>
  </si>
  <si>
    <t>X1_Bounty_A5_PandFortress_Event_LostHost.qst</t>
  </si>
  <si>
    <t>Bounty: Lost Host</t>
  </si>
  <si>
    <t>X1_Bounty_A5_PandFortress_Event_CourtOfInsanity.qst</t>
  </si>
  <si>
    <t>Bounty: Judgment</t>
  </si>
  <si>
    <t>X1_Bounty_A5_PandFortress_Event_LeapOfFaith.qst</t>
  </si>
  <si>
    <t>Bounty: Leap of Faith</t>
  </si>
  <si>
    <t>X1_Bounty_A5_PandFortress_Event_SoulsOfAngels.qst</t>
  </si>
  <si>
    <t>Bounty: Demon Souls</t>
  </si>
  <si>
    <t>X1_Bounty_A5_PandExt_Event_TheDemonicPrisoner.qst</t>
  </si>
  <si>
    <t>X1_Bounty_A5_PandExt_Event_ForgottenWar.qst</t>
  </si>
  <si>
    <t>X1_Bounty_A5_PathToCorvus_Event_ScarabHatchery.qst</t>
  </si>
  <si>
    <t>X1_Bounty_A5_PandFortress_Kill_Lograth.qst</t>
  </si>
  <si>
    <t>Bounty: Kill Lograth</t>
  </si>
  <si>
    <t>X1_Bounty_A5_PandFortress_Kill_Valtesk.qst</t>
  </si>
  <si>
    <t>Bounty: Kill Valtesk the Cruel</t>
  </si>
  <si>
    <t>X1_Bounty_A5_PandFortress_Kill_Scythys.qst</t>
  </si>
  <si>
    <t>Bounty: Kill Scythys</t>
  </si>
  <si>
    <t>X1_Bounty_A5_PandFortress_Kill_Ballartrask.qst</t>
  </si>
  <si>
    <t>Bounty: Kill Ballartrask the Defiler</t>
  </si>
  <si>
    <t>X1_Bounty_A5_PandFortress_Kill_Zorrus.qst</t>
  </si>
  <si>
    <t>Bounty: Kill Zorrus</t>
  </si>
  <si>
    <t>X1_Bounty_A5_PandFortress_Kill_Xaphane.qst</t>
  </si>
  <si>
    <t>Bounty: Kill Xaphane</t>
  </si>
  <si>
    <t>X1_Bounty_A4_HellRift_Kill_Sledge.qst</t>
  </si>
  <si>
    <t>Bounty: Kill Sledge</t>
  </si>
  <si>
    <t>X1_Bounty_A1_Fields_Event_FleshpitGrove.qst</t>
  </si>
  <si>
    <t>Bounty: The Cursed Grove</t>
  </si>
  <si>
    <t>X1_Bounty_A1_Fields_Event_CultistLegion.qst</t>
  </si>
  <si>
    <t>Bounty: The Cursed Mill</t>
  </si>
  <si>
    <t>X1_Bounty_A1_Highlands_Northern_Kill_Krailen.qst</t>
  </si>
  <si>
    <t>Bounty: Kill Krailen the Wicked</t>
  </si>
  <si>
    <t>X1_Bounty_A1_Highlands_Northern_Kill_Jezeb.qst</t>
  </si>
  <si>
    <t>Bounty: Kill Jezeb the Conjuror</t>
  </si>
  <si>
    <t>X1_Bounty_A5_Bog_Kill_Luca.qst</t>
  </si>
  <si>
    <t>X1_Bounty_A5_Bog_Event_3Boggits.qst</t>
  </si>
  <si>
    <t>Bounty: The Bogan Haul</t>
  </si>
  <si>
    <t>X1_Bounty_A5_PandExt_Event_Resurrection.qst</t>
  </si>
  <si>
    <t>Bounty: Resurrection</t>
  </si>
  <si>
    <t>X1_Bounty_A5_PandExt_Event_DemonCache.qst</t>
  </si>
  <si>
    <t>Bounty: The Demon Cache</t>
  </si>
  <si>
    <t>X1_Bounty_A5_PandExt_Event_CursedCrystals.qst</t>
  </si>
  <si>
    <t>Bounty: The Cursed Crystals</t>
  </si>
  <si>
    <t>X1_Bounty_A5_PandExt_Event_LostLegion.qst</t>
  </si>
  <si>
    <t>Bounty: The Lost Legion</t>
  </si>
  <si>
    <t>X1_Bounty_A5_PandExt_Kill_Muilliuqs.qst</t>
  </si>
  <si>
    <t>Bounty: Kill Mulliuqs the Horrid</t>
  </si>
  <si>
    <t>X1_Bounty_A5_Westmarch_Event_NecromancersChoice.qst</t>
  </si>
  <si>
    <t>Bounty: Necromancer's Choice</t>
  </si>
  <si>
    <t>X1_Bounty_A5_Westmarch_Event_TheMiser.qst</t>
  </si>
  <si>
    <t>Bounty: The Miser's Will</t>
  </si>
  <si>
    <t>X1_Bounty_A5_Westmarch_Event_CaptainStokely.qst</t>
  </si>
  <si>
    <t>Bounty: A Shameful Death</t>
  </si>
  <si>
    <t>X1_Bounty_A5_Westmarch_Event_TheLastStand.qst</t>
  </si>
  <si>
    <t>Bounty: The Last Stand</t>
  </si>
  <si>
    <t>X1_Bounty_A5_Westmarch_Event_KingEvent01.qst</t>
  </si>
  <si>
    <t>Bounty: The Rebellious Rabble</t>
  </si>
  <si>
    <t>X1_Bounty_A5_Westmarch_Event_KingEvent02.qst</t>
  </si>
  <si>
    <t>Bounty: Noble Deaths</t>
  </si>
  <si>
    <t>X1_Bounty_A5_Westmarch_Event_TustinesBrewery.qst</t>
  </si>
  <si>
    <t>Bounty: The Lost Patrol</t>
  </si>
  <si>
    <t>X1_Bounty_A5_Westmarch_Event_HomeInvasion.qst</t>
  </si>
  <si>
    <t>Bounty: Home Invasion</t>
  </si>
  <si>
    <t>X1_Bounty_A5_Westmarch_Event_ReformedCultist.qst</t>
  </si>
  <si>
    <t>Bounty: The Reformed Cultist</t>
  </si>
  <si>
    <t>X1_Bounty_A5_Westmarch_Event_MagicMisfire.qst</t>
  </si>
  <si>
    <t>Bounty: Magic Misfire</t>
  </si>
  <si>
    <t>X1_Bounty_A5_WestmarchFire_Event_KingEvent03.qst</t>
  </si>
  <si>
    <t>Bounty: The True Son of the Wolf</t>
  </si>
  <si>
    <t>X1_Bounty_A5_WestmarchFire_Event_HideAndSeek.qst</t>
  </si>
  <si>
    <t>Bounty: Hide and Seek</t>
  </si>
  <si>
    <t>X1_Bounty_A5_WestmarchFire_Event_Corpsefinder.qst</t>
  </si>
  <si>
    <t>Bounty: Finding the Forgotten</t>
  </si>
  <si>
    <t>X1_Bounty_A5_WestmarchFire_Event_PestProblems.qst</t>
  </si>
  <si>
    <t>Bounty: Pest Problems</t>
  </si>
  <si>
    <t>X1_Bounty_A5_Westmarch_Kill_DaleHawthorne.qst</t>
  </si>
  <si>
    <t>Bounty: Kill Dale Hawthorne</t>
  </si>
  <si>
    <t>X1_Bounty_A5_Westmarch_Kill_CaptainGerber.qst</t>
  </si>
  <si>
    <t>Bounty: Kill Captain Gerber</t>
  </si>
  <si>
    <t>X1_Bounty_A5_Westmarch_Kill_IgorStalfos.qst</t>
  </si>
  <si>
    <t>Bounty: Kill Igor Stalfos</t>
  </si>
  <si>
    <t>X1_Bounty_A5_WestmarchFire_Kill_PanFezbane.qst</t>
  </si>
  <si>
    <t>Bounty: Kill Pan Fezbane</t>
  </si>
  <si>
    <t>X1_Bounty_A5_Pand_HexMaze_Kill_Magrethar.qst</t>
  </si>
  <si>
    <t>Bounty: Kill Magrethar</t>
  </si>
  <si>
    <t>X1_Bounty_A5_Pand_HexMaze_Kill_Borgoth.qst</t>
  </si>
  <si>
    <t>X1_Bounty_A5_Pand_HexMaze_Kill_Severag.qst</t>
  </si>
  <si>
    <t>X1_Bounty_A5_Pand_HexMaze_Kill_Bloone.qst</t>
  </si>
  <si>
    <t>X1_Bounty_A5_Pand_HexMaze_Kill_Grotescor.qst</t>
  </si>
  <si>
    <t>X1_Bounty_A5_Pand_HexMaze_Kill_Haziael.qst</t>
  </si>
  <si>
    <t>X1_Bounty_A1_Fields_Kill_Growler.qst</t>
  </si>
  <si>
    <t>Bounty: Kill Growler</t>
  </si>
  <si>
    <t>X1_Bounty_A1_FesteringWoods_Kill_LordBrone.qst</t>
  </si>
  <si>
    <t>Bounty: Kill Lord Brone</t>
  </si>
  <si>
    <t>X1_Bounty_A1_FesteringWoods_Kill_Galush.qst</t>
  </si>
  <si>
    <t>Bounty: Kill Galush Valdant</t>
  </si>
  <si>
    <t>X1_Bounty_A1_Highlands_Northern_Kill_Reggrel.qst</t>
  </si>
  <si>
    <t>Bounty: Kill Reggrel the Despised</t>
  </si>
  <si>
    <t>X1_Bounty_A1_Highlands_Northern_Kill_Hrugowl.qst</t>
  </si>
  <si>
    <t>Bounty: Kill Hrugowl the Defiant</t>
  </si>
  <si>
    <t>X1_Bounty_A1_Highlands_Northern_Kill_Theodyn.qst</t>
  </si>
  <si>
    <t>Bounty: Kill Theodyn Deathsinger</t>
  </si>
  <si>
    <t>X1_Bounty_A1_Highlands_Northern_Kill_Percepeus.qst</t>
  </si>
  <si>
    <t>Bounty: Kill Percepeus</t>
  </si>
  <si>
    <t>X1_Bounty_A2_StingingWinds_Kill_Balzhak.qst</t>
  </si>
  <si>
    <t>Bounty: Kill Balzhak</t>
  </si>
  <si>
    <t>X1_Bounty_A2_StingingWinds_Kill_Samaras.qst</t>
  </si>
  <si>
    <t>Bounty: Kill Samaras the Chaser</t>
  </si>
  <si>
    <t>X1_Bounty_A2_StingingWinds_Kill_Barty.qst</t>
  </si>
  <si>
    <t>Bounty: Kill Barty the Minuscule</t>
  </si>
  <si>
    <t>X1_Bounty_A2_Oasis_Kill_Gryssian.qst</t>
  </si>
  <si>
    <t>Bounty: Kill Gryssian</t>
  </si>
  <si>
    <t>X1_Bounty_A2_Oasis_Kill_Khahul.qst</t>
  </si>
  <si>
    <t>Bounty: Kill Khahul the Serpent</t>
  </si>
  <si>
    <t>X1_Bounty_A2_Oasis_Kill_Tridiun.qst</t>
  </si>
  <si>
    <t>Bounty: Kill Tridiun the Impaler</t>
  </si>
  <si>
    <t>X1_Bounty_A3_Ramparts_Kill_Thromp.qst</t>
  </si>
  <si>
    <t>Bounty: Kill Thromp the Breaker</t>
  </si>
  <si>
    <t>X1_Bounty_A3_Ramparts_Kill_Obis.qst</t>
  </si>
  <si>
    <t>Bounty: Kill Obis the Mighty</t>
  </si>
  <si>
    <t>X1_Bounty_A3_Ramparts_Kill_Ganthar.qst</t>
  </si>
  <si>
    <t>Bounty: Kill Ganthar the Trickster</t>
  </si>
  <si>
    <t>X1_Bounty_A3_Ramparts_Kill_Greelode.qst</t>
  </si>
  <si>
    <t>Bounty: Kill Greelode the Unforgiving</t>
  </si>
  <si>
    <t>X1_Bounty_A3_Ramparts_Kill_Barrucus.qst</t>
  </si>
  <si>
    <t>Bounty: Kill Barrucus</t>
  </si>
  <si>
    <t>X1_Bounty_A3_Ramparts_Kill_Allucayrd.qst</t>
  </si>
  <si>
    <t>Bounty: Kill Allucayrd</t>
  </si>
  <si>
    <t>X1_Bounty_A5_Bog_Clear_PerilousCave2.qst</t>
  </si>
  <si>
    <t>Bounty: Clear the Perilous Cave</t>
  </si>
  <si>
    <t>X1_Bounty_A5_Westmarch_Clear_PlagueTunnels2.qst</t>
  </si>
  <si>
    <t>Bounty: Clear the Plague Tunnels</t>
  </si>
  <si>
    <t>X1_Bounty_A5_WestmarchFire_Clear_RepositoryOfBones2.qst</t>
  </si>
  <si>
    <t>X1_Bounty_A1_Wilderness_Kill_Horrus.qst</t>
  </si>
  <si>
    <t>Bounty: Kill Kankerrot</t>
  </si>
  <si>
    <t>X1_Bounty_A1_Wilderness_Kill_Kankerrot.qst</t>
  </si>
  <si>
    <t>Bounty: Kill Horrus the Nightstalker</t>
  </si>
  <si>
    <t>X1_Bounty_A1_Highlands_Event_KhazraWarband.qst</t>
  </si>
  <si>
    <t>Bounty: The Cursed Camp</t>
  </si>
  <si>
    <t>X1_Bounty_A1_LeoricsDungeon_Event_Deathfire.qst</t>
  </si>
  <si>
    <t>Bounty: The Cursed Bellows</t>
  </si>
  <si>
    <t>X1_Bounty_A2_HowlingPlateau_Event_FallenWarband.qst</t>
  </si>
  <si>
    <t>Bounty: The Cursed Battlement</t>
  </si>
  <si>
    <t>X1_Bounty_A2_HowlingPlateau_Event_DesertFortress.qst</t>
  </si>
  <si>
    <t>Bounty: The Cursed Outpost</t>
  </si>
  <si>
    <t>X1_Bounty_A2_Oasis_Event_SunkenGrave.qst</t>
  </si>
  <si>
    <t>Bounty: The Cursed Shallows</t>
  </si>
  <si>
    <t>X1_Bounty_A3_Battlefields_Event_InfernalSky.qst</t>
  </si>
  <si>
    <t>Bounty: The Cursed Garrison</t>
  </si>
  <si>
    <t>X1_Bounty_A3_Battlefields_Event_DeathChill.qst</t>
  </si>
  <si>
    <t>Bounty: The Cursed Glacier</t>
  </si>
  <si>
    <t>X1_Bounty_A3_KeepDepths_Event_ForsakenSoldiers.qst</t>
  </si>
  <si>
    <t>Bounty: The Cursed Depths</t>
  </si>
  <si>
    <t>X1_Bounty_A3_Crater_Event_BloodClanAssault.qst</t>
  </si>
  <si>
    <t>Bounty: The Cursed Caldera</t>
  </si>
  <si>
    <t>X1_Bounty_A4_Spire_Event_ArmyOfHell.qst</t>
  </si>
  <si>
    <t>Bounty: The Cursed Chapel</t>
  </si>
  <si>
    <t>X1_Bounty_A4_GardensOfHope_Event_Juggernaut.qst</t>
  </si>
  <si>
    <t>Bounty: The Cursed Dais</t>
  </si>
  <si>
    <t>X1_Bounty_A5_PandExt_Event_HostileRealm.qst</t>
  </si>
  <si>
    <t>Bounty: The Cursed Realm</t>
  </si>
  <si>
    <t>X1_Bounty_A1_OldTristram_Event_DeathCellar.qst</t>
  </si>
  <si>
    <t>Bounty: The Cursed Cellar</t>
  </si>
  <si>
    <t>X1_Bounty_A5_Bog_Event_AncientEvils.qst</t>
  </si>
  <si>
    <t>Bounty: The Cursed City</t>
  </si>
  <si>
    <t>X1_Bounty_A5_PandFortress_Event_ChronoPrison.qst</t>
  </si>
  <si>
    <t>Bounty: Out of Time</t>
  </si>
  <si>
    <t>X1_Bounty_A1_Cathedral_Event_GhoulSwarm.qst</t>
  </si>
  <si>
    <t>Bounty: The Cursed Court</t>
  </si>
  <si>
    <t>X1_Bounty_A1_Cathedral_Event_ChamberOfBone.qst</t>
  </si>
  <si>
    <t>Bounty: The Cursed Chamber of Bone</t>
  </si>
  <si>
    <t>X1_Bounty_A1_SpiderCaves_Event_SpiderTrap.qst</t>
  </si>
  <si>
    <t>Bounty: The Cursed Hatchery</t>
  </si>
  <si>
    <t>X1_Bounty_A2_ZKArchives_Event_FoulHatchery.qst</t>
  </si>
  <si>
    <t>Bounty: The Cursed Spire</t>
  </si>
  <si>
    <t>X1_Bounty_A2_ZKArchives_Event_Dustbowl.qst</t>
  </si>
  <si>
    <t>Bounty: The Cursed Pit</t>
  </si>
  <si>
    <t>X1_Bounty_A2_Boneyards_Event_ArmyOfTheDead.qst</t>
  </si>
  <si>
    <t>Bounty: The Cursed Archive</t>
  </si>
  <si>
    <t>X1_Bounty_A5_Westmarch_Event_GuardSlaughter.qst</t>
  </si>
  <si>
    <t>Bounty: The Cursed Forum</t>
  </si>
  <si>
    <t>X1_Bounty_A5_PandFortress_Event_FlyingAssasins.qst</t>
  </si>
  <si>
    <t>Bounty: The Cursed War Room</t>
  </si>
  <si>
    <t>X1_Bounty_A5_Bog_Event_HunterKillers.qst</t>
  </si>
  <si>
    <t>Bounty: The Cursed Peat</t>
  </si>
  <si>
    <t>X1_Bounty_A5_WestmarchFire_Event_Bonepit.qst</t>
  </si>
  <si>
    <t>Bounty: The Cursed Bone Pit</t>
  </si>
  <si>
    <t>X1_Bounty_A5_Westmarch_Event_AbattoirFurnace.qst</t>
  </si>
  <si>
    <t>Bounty: Firestorm</t>
  </si>
  <si>
    <t>P2_Bounty_A4_CorruptSpire_Kill_Sabnock.qst</t>
  </si>
  <si>
    <t>Bounty: Kill Sabnock The Infector</t>
  </si>
  <si>
    <t>P2_Bounty_A4_CorruptSpire_Kill_Vephar.qst</t>
  </si>
  <si>
    <t>Bounty: Kill Malefactor Vephar</t>
  </si>
  <si>
    <t>P2_Bounty_A4_CorruptSpire_Kill_Amduscias.qst</t>
  </si>
  <si>
    <t>Bounty: Kill Amduscias</t>
  </si>
  <si>
    <t>P2_Bounty_A4_CorruptSpire_Kill_Cimeries.qst</t>
  </si>
  <si>
    <t>Bounty: Kill Cimeries</t>
  </si>
  <si>
    <t>P2_Bounty_A4_GardensOfHope_Kill_Raym.qst</t>
  </si>
  <si>
    <t>Bounty: Kill Erra</t>
  </si>
  <si>
    <t>P2_Bounty_A4_GardensOfHope_Kill_Beleth.qst</t>
  </si>
  <si>
    <t>Bounty: Kill Palerider Beleth</t>
  </si>
  <si>
    <t>P2_Bounty_A4_GardensOfHope_Kill_Emberdread.qst</t>
  </si>
  <si>
    <t>Bounty: Kill Emberdread</t>
  </si>
  <si>
    <t>P2_Bounty_A4_GardensOfHope_Kill_Lasciate.qst</t>
  </si>
  <si>
    <t>Bounty: Kill Lasciate</t>
  </si>
  <si>
    <t>P2_Bounty_A4_BesiegedTower_Clear_BesiegedTower2.qst</t>
  </si>
  <si>
    <t>Bounty: Clear the Besieged Tower Level 2</t>
  </si>
  <si>
    <t>P2_Bounty_A4_GardensOfHope_Event_SigilB.qst</t>
  </si>
  <si>
    <t>Bounty: Watch Your Step</t>
  </si>
  <si>
    <t>P2_Bounty_A4_GardensOfHope_Event_SigilC.qst</t>
  </si>
  <si>
    <t>Bounty: The Cursed Pulpit</t>
  </si>
  <si>
    <t>px_Bounty_A1_Wilderness_Camp_TemplarPrisoners.qst</t>
  </si>
  <si>
    <t>Bounty: Templar Inquisition</t>
  </si>
  <si>
    <t>px_Bounty_A1_Highlands_Camp_ResurgentCult.qst</t>
  </si>
  <si>
    <t>Bounty: The Triune Reborn</t>
  </si>
  <si>
    <t>px_Bounty_A2_Oasis_Camp_IronWolves.qst</t>
  </si>
  <si>
    <t>Bounty: Blood and Iron</t>
  </si>
  <si>
    <t>X1_Bounty_A5_WestmarchFire_Clear_GuildHideout2.qst</t>
  </si>
  <si>
    <t>Bounty: Clear the Guild Hideout</t>
  </si>
  <si>
    <t>X1_Bounty_A5_WestmarchFire_Kill_Brent.qst</t>
  </si>
  <si>
    <t>Bounty: Kill Brent Brewington</t>
  </si>
  <si>
    <t>X1_Bounty_A5_WestmarchFire_Kill_Meriel.qst</t>
  </si>
  <si>
    <t>Bounty: Kill Meriel Regodon</t>
  </si>
  <si>
    <t>X1_Bounty_A5_WestmarchFire_Kill_Denis.qst</t>
  </si>
  <si>
    <t>Bounty: Kill Denis Genest</t>
  </si>
  <si>
    <t>px_Bounty_A1_SpiderCaves_Camp_Cocoon.qst</t>
  </si>
  <si>
    <t>Bounty: The Queen's Dessert</t>
  </si>
  <si>
    <t>px_Bounty_A2_Aqueducts_Clear_WesternChannel2.qst</t>
  </si>
  <si>
    <t>Bounty: Clear the Western Channel</t>
  </si>
  <si>
    <t>px_Bounty_A2_Aqueducts_Clear_EasternChannel2.qst</t>
  </si>
  <si>
    <t>Bounty: Clear the Eastern Channel</t>
  </si>
  <si>
    <t>px_Bounty_A2_Aqueducts_Kill_Yakara.qst</t>
  </si>
  <si>
    <t>Bounty: Kill Yakara</t>
  </si>
  <si>
    <t>px_Bounty_A2_Aqueducts_Kill_Grool.qst</t>
  </si>
  <si>
    <t>Bounty: Kill Grool</t>
  </si>
  <si>
    <t>px_Bounty_A2_Aqueducts_Kill_OtziTheCursed.qst</t>
  </si>
  <si>
    <t>Bounty: Kill Otzi the Cursed</t>
  </si>
  <si>
    <t>px_Bounty_A2_Aqueducts_Kill_StingingDeathSwarm.qst</t>
  </si>
  <si>
    <t>Bounty: Kill the Stinging Death Swarm</t>
  </si>
  <si>
    <t>px_Bounty_A2_Aqueducts_Event_ThePutridWaters.qst</t>
  </si>
  <si>
    <t>Bounty: The Putrid Waters</t>
  </si>
  <si>
    <t>px_Bounty_A2_Boneyards_Camp_AncientDevices.qst</t>
  </si>
  <si>
    <t>Bounty: The Ancient Devices</t>
  </si>
  <si>
    <t>px_Bounty_A2_StingingWinds_Camp_CaldeumPrisoners.qst</t>
  </si>
  <si>
    <t>Bounty: Prisoners of the Cult</t>
  </si>
  <si>
    <t>px_Bounty_A4_GardensOfHope_Camp_TrappedAngels.qst</t>
  </si>
  <si>
    <t>Bounty: Tormented Angels</t>
  </si>
  <si>
    <t>px_Bounty_A3_Bridge_Camp_LostPatrol.qst</t>
  </si>
  <si>
    <t>px_Bounty_A3_Crater_Camp_AzmodanMinions.qst</t>
  </si>
  <si>
    <t>Bounty: The Demon Gates</t>
  </si>
  <si>
    <t>px_Bounty_A5_Graveyard_Camp_SkeletonJars.qst</t>
  </si>
  <si>
    <t>Bounty: Rathma's Gift</t>
  </si>
  <si>
    <t>px_Bounty_A4_Spire_Camp_HellPortals.qst</t>
  </si>
  <si>
    <t>Bounty: The Hell Portals</t>
  </si>
  <si>
    <t>px_Bounty_A1_LeoricsDungeon_Camp_WorthamMilitia.qst</t>
  </si>
  <si>
    <t>Bounty: Wortham Survivors</t>
  </si>
  <si>
    <t>Bounty: The Cursed Stronghold</t>
  </si>
  <si>
    <t>P4_Bounty_A3_RuinsOfSescheron_Kill_CannibalA.qst</t>
  </si>
  <si>
    <t>P4_Bounty_A3_RuinsOfSescheron_Kill_CannibalB.qst</t>
  </si>
  <si>
    <t>P4_Bounty_A3_RuinsOfSescheron_Kill_CannibalC.qst</t>
  </si>
  <si>
    <t>P4_Bounty_A3_RuinsOfSescheron_Kill_CannibalD.qst</t>
  </si>
  <si>
    <t>Bounty: Kill Aletur</t>
  </si>
  <si>
    <t>P4_Bounty_A3_RuinsOfSescheron_Event_TheZiggurat.qst</t>
  </si>
  <si>
    <t>Bounty: King of the Ziggurat</t>
  </si>
  <si>
    <t>章节</t>
    <phoneticPr fontId="85" type="noConversion"/>
  </si>
  <si>
    <t>px_Bounty_A3_Ramparts_Camp_CatapultCommander.qst</t>
  </si>
  <si>
    <t>Bounty: Catapult Command</t>
  </si>
  <si>
    <t>X1_Bounty_A1_Fields_Kill_Krelm.qst</t>
  </si>
  <si>
    <t>Bounty: Kill Krelm the Flagitious</t>
  </si>
  <si>
    <t>Halls of Agony Level 2</t>
  </si>
  <si>
    <t>Tower of the Damned Level 1</t>
  </si>
  <si>
    <t>Tower of the Cursed Level 1</t>
  </si>
  <si>
    <t>Gardens of Hope 2nd Tier</t>
  </si>
  <si>
    <t>Gardens of Hope 3rd Tier</t>
  </si>
  <si>
    <t>P2_Bounty_A4_GardensOfHope_Event_SigilD.qst</t>
  </si>
  <si>
    <t>Bounty: Hellbreeder Nest</t>
  </si>
  <si>
    <t>Bounty: Wormsign</t>
  </si>
  <si>
    <t>Besieged Tower Level 1</t>
  </si>
  <si>
    <t>Halls of Agony Level 3</t>
    <phoneticPr fontId="20" type="noConversion"/>
  </si>
  <si>
    <t>苦痛刑牢第一層</t>
  </si>
  <si>
    <t>苦痛刑牢第二層</t>
  </si>
  <si>
    <t>苦痛刑牢一层</t>
  </si>
  <si>
    <t>苦痛刑牢二层</t>
  </si>
  <si>
    <t>王室墓穴</t>
  </si>
  <si>
    <t>皇家墓群</t>
  </si>
  <si>
    <t>Northern Highlands</t>
    <phoneticPr fontId="20" type="noConversion"/>
  </si>
  <si>
    <t>The Royal Crypts</t>
    <phoneticPr fontId="20" type="noConversion"/>
  </si>
  <si>
    <t>The Old Ruins</t>
    <phoneticPr fontId="20" type="noConversion"/>
  </si>
  <si>
    <t>☆数据暂缺☆</t>
    <phoneticPr fontId="20" type="noConversion"/>
  </si>
  <si>
    <t>☆数据暂缺☆</t>
    <phoneticPr fontId="20" type="noConversion"/>
  </si>
  <si>
    <t>卡爾蒂姆城</t>
  </si>
  <si>
    <t>卡尔蒂姆城</t>
  </si>
  <si>
    <t>遠古水道</t>
  </si>
  <si>
    <t>远古水道</t>
  </si>
  <si>
    <t>Archives of Zoltun Kulle</t>
    <phoneticPr fontId="20" type="noConversion"/>
  </si>
  <si>
    <t>賽斯雪隆廢墟</t>
  </si>
  <si>
    <t>赛斯切隆废墟</t>
  </si>
  <si>
    <t>遭围高塔一层</t>
  </si>
  <si>
    <t>被圍攻的哨塔第一層</t>
  </si>
  <si>
    <t>苦痛刑牢第三層</t>
  </si>
  <si>
    <t>希望園圃第三階</t>
  </si>
  <si>
    <t>希望花园三层</t>
  </si>
  <si>
    <t>地獄之門第一層</t>
  </si>
  <si>
    <t>地狱裂隙一层</t>
  </si>
  <si>
    <t>Passage to Corvus</t>
    <phoneticPr fontId="20" type="noConversion"/>
  </si>
  <si>
    <t>苦痛刑牢三层</t>
  </si>
  <si>
    <t>大教堂一层</t>
  </si>
  <si>
    <t>大教堂四层</t>
  </si>
  <si>
    <t>南方高地</t>
  </si>
  <si>
    <t>北部高地</t>
  </si>
  <si>
    <t>北方高地</t>
  </si>
  <si>
    <t>舊鎮廢墟</t>
  </si>
  <si>
    <t>旧废墟</t>
  </si>
  <si>
    <t>烂木林</t>
  </si>
  <si>
    <t>哭泣山谷</t>
  </si>
  <si>
    <t>荒废的墓地</t>
  </si>
  <si>
    <t>凄凉沙漠</t>
  </si>
  <si>
    <t>烈风之地</t>
  </si>
  <si>
    <t>凄风苔原</t>
  </si>
  <si>
    <t>奧卡納斯之路</t>
  </si>
  <si>
    <t>阿尔卡纳斯之路</t>
  </si>
  <si>
    <t>佐敦庫勒秘庫</t>
  </si>
  <si>
    <t>佐敦·库勒藏书馆</t>
  </si>
  <si>
    <t>拉基斯之渡</t>
  </si>
  <si>
    <t>科尔斯克之桥</t>
  </si>
  <si>
    <t>战场</t>
  </si>
  <si>
    <t>亚瑞特巨坑一层</t>
  </si>
  <si>
    <t>亚瑞特巨坑二层</t>
  </si>
  <si>
    <t>亚瑞特核心</t>
  </si>
  <si>
    <t>天谴者之塔一层</t>
  </si>
  <si>
    <t>诅咒者之塔一层</t>
  </si>
  <si>
    <t>要塞深渊一层</t>
  </si>
  <si>
    <t>要塞深渊二层</t>
  </si>
  <si>
    <t>要塞深渊三层</t>
  </si>
  <si>
    <t>坚石壁垒</t>
  </si>
  <si>
    <t>希望花园一层</t>
  </si>
  <si>
    <t>希望園圃第二階</t>
  </si>
  <si>
    <t>希望花园二层</t>
  </si>
  <si>
    <t>银色高塔一层</t>
  </si>
  <si>
    <t>银色高塔二层</t>
  </si>
  <si>
    <t>悬赏任务类型</t>
    <phoneticPr fontId="85" type="noConversion"/>
  </si>
  <si>
    <t>完成事件</t>
  </si>
  <si>
    <t>怪物全清</t>
  </si>
  <si>
    <t>The Cursed Pit</t>
  </si>
  <si>
    <t>The Cursed Spire</t>
  </si>
  <si>
    <t>Lost Treasure of Khan Dakab</t>
  </si>
  <si>
    <t>Prisoners of Kamyr</t>
  </si>
  <si>
    <t>The Cursed Shallows</t>
  </si>
  <si>
    <t>The Shrine of Rakanishu</t>
  </si>
  <si>
    <t>A Miner's Gold</t>
  </si>
  <si>
    <t>Lair of the Lacuni</t>
  </si>
  <si>
    <t>The Cursed Battlement</t>
  </si>
  <si>
    <t>The Cursed Outpost</t>
  </si>
  <si>
    <t>Restless Sands</t>
  </si>
  <si>
    <t>Rygnar Idol</t>
  </si>
  <si>
    <t>The Guardian Spirits</t>
  </si>
  <si>
    <t>Apothecary's Brother</t>
  </si>
  <si>
    <t>The Cursed Court</t>
  </si>
  <si>
    <t>The Cursed Chamber of Bone</t>
  </si>
  <si>
    <t>The Jar of Souls</t>
  </si>
  <si>
    <t>The Matriarch's Bones</t>
    <phoneticPr fontId="20" type="noConversion"/>
  </si>
  <si>
    <t>The Cursed Cellar</t>
  </si>
  <si>
    <t>A Farm Besieged</t>
  </si>
  <si>
    <t>Carrion Farm</t>
  </si>
  <si>
    <t>The Cursed Grove</t>
  </si>
  <si>
    <t>The Cursed Mill</t>
  </si>
  <si>
    <t>The Family of Rathe</t>
  </si>
  <si>
    <t>The Precious Ores</t>
  </si>
  <si>
    <t>The Cursed Bellows</t>
    <phoneticPr fontId="20" type="noConversion"/>
  </si>
  <si>
    <t>Eternal War</t>
    <phoneticPr fontId="7" type="noConversion"/>
  </si>
  <si>
    <t>Last Stand of the Ancients</t>
  </si>
  <si>
    <t>Crumbling Tower</t>
  </si>
  <si>
    <t>Revenge of Gharbad</t>
  </si>
  <si>
    <t>Scavenged Scabbard</t>
  </si>
  <si>
    <t>The Cursed Camp</t>
  </si>
  <si>
    <t>The Cursed Hatchery</t>
  </si>
  <si>
    <t>The Crumbling Vault</t>
    <phoneticPr fontId="20" type="noConversion"/>
  </si>
  <si>
    <t>The Cursed Archive</t>
  </si>
  <si>
    <t>The Cursed Glacier</t>
  </si>
  <si>
    <t>Blaze of Glory</t>
  </si>
  <si>
    <t>Crazy Climber</t>
  </si>
  <si>
    <t>The Cursed Caldera</t>
  </si>
  <si>
    <t>Forged in Battle</t>
  </si>
  <si>
    <t>Blood Ties</t>
  </si>
  <si>
    <t>The Cursed Garrison</t>
  </si>
  <si>
    <t>The Triage</t>
  </si>
  <si>
    <t>Tide of Battle</t>
  </si>
  <si>
    <t>The Cursed Dais</t>
  </si>
  <si>
    <t>The Cursed Chapel</t>
  </si>
  <si>
    <t>拉基斯之渡-桥底</t>
    <phoneticPr fontId="20" type="noConversion"/>
  </si>
  <si>
    <t>战场-先锋军营房</t>
    <phoneticPr fontId="20" type="noConversion"/>
  </si>
  <si>
    <t>战场-坚固的地堡</t>
    <phoneticPr fontId="20" type="noConversion"/>
  </si>
  <si>
    <t>战场-铸造间</t>
    <phoneticPr fontId="20" type="noConversion"/>
  </si>
  <si>
    <t>威斯特玛城中区-瘟疫地道</t>
    <phoneticPr fontId="20" type="noConversion"/>
  </si>
  <si>
    <t>威斯特玛上城区-骸骨地窖二层</t>
    <phoneticPr fontId="20" type="noConversion"/>
  </si>
  <si>
    <t>威斯特玛上城区-骸骨地窖</t>
    <phoneticPr fontId="20" type="noConversion"/>
  </si>
  <si>
    <t>国服悬赏任务名为“消灭畸变的海鲁格”</t>
    <phoneticPr fontId="7" type="noConversion"/>
  </si>
  <si>
    <t>国服悬赏任务名为“消灭脊背烈兽”</t>
    <phoneticPr fontId="7" type="noConversion"/>
  </si>
  <si>
    <t>国服的悬赏任务名为“消灭瓜图恩”</t>
    <phoneticPr fontId="7" type="noConversion"/>
  </si>
  <si>
    <t>国服的悬赏任务名为“消灭悲凄的姬辛德拉”</t>
    <phoneticPr fontId="7" type="noConversion"/>
  </si>
  <si>
    <t>达尔格绿洲-萨达尔的墓穴</t>
    <phoneticPr fontId="20" type="noConversion"/>
  </si>
  <si>
    <t>消灭紫怪</t>
  </si>
  <si>
    <t>消灭首领</t>
  </si>
  <si>
    <t>扫荡野营</t>
  </si>
  <si>
    <t>地图中下，限时任务</t>
    <phoneticPr fontId="46" type="noConversion"/>
  </si>
  <si>
    <t>懸賞：殺死骷髏王</t>
  </si>
  <si>
    <t>懸賞：殺死屠夫</t>
  </si>
  <si>
    <t>懸賞：殺死蛛后艾瑞妮</t>
  </si>
  <si>
    <t>懸賞：殺死瑪格妲</t>
  </si>
  <si>
    <t>懸賞：殺死彼列</t>
  </si>
  <si>
    <t>懸賞：殺死佐頓庫勒</t>
  </si>
  <si>
    <t>懸賞：殺死攻城破壞獸</t>
  </si>
  <si>
    <t>懸賞：殺死阿茲莫丹</t>
  </si>
  <si>
    <t>懸賞：殺死岡姆</t>
  </si>
  <si>
    <t>懸賞：殺死瑟蒂雅</t>
  </si>
  <si>
    <t>懸賞：殺死拉卡諾斯</t>
  </si>
  <si>
    <t>懸賞：殺死迪亞布羅</t>
  </si>
  <si>
    <t>懸賞：殺死伊卒爾</t>
  </si>
  <si>
    <t>懸賞：殺死瑪瑟爾</t>
  </si>
  <si>
    <t>懸賞：殺死愛德莉雅</t>
  </si>
  <si>
    <t>懸賞：殺死厄傑爾</t>
  </si>
  <si>
    <t>懸賞：殺死尋釁者赫魯高爾</t>
  </si>
  <si>
    <t>懸賞：殺死喚魔師吉列伯</t>
  </si>
  <si>
    <t>懸賞：殺死邪惡的克萊倫</t>
  </si>
  <si>
    <t>懸賞：殺死珀瑟帕斯</t>
  </si>
  <si>
    <t>懸賞：殺死厭憎者雷格瑞爾</t>
  </si>
  <si>
    <t>懸賞：殺死死亡歌者希爾汀</t>
  </si>
  <si>
    <t>懸賞：殺死康爵朗</t>
  </si>
  <si>
    <t>懸賞：殺死催火狂魔</t>
  </si>
  <si>
    <t>懸賞：殺死破肚恐屍</t>
  </si>
  <si>
    <t>懸賞：殺死凱吉隊長</t>
  </si>
  <si>
    <t>懸賞：殺死布拉魯克森魔</t>
  </si>
  <si>
    <t>懸賞：殺死滑翼</t>
  </si>
  <si>
    <t>懸賞：殺死哈格斯森魔</t>
  </si>
  <si>
    <t>懸賞：殺死掘墓者奧戴爾</t>
  </si>
  <si>
    <t>懸賞：殺死德魯利•布朗</t>
  </si>
  <si>
    <t>懸賞：殺死「棺材板」約翰?戈罕</t>
  </si>
  <si>
    <t>懸賞：殺死墮落的魯休斯</t>
  </si>
  <si>
    <t>懸賞：殺死掘墓者戴塔</t>
  </si>
  <si>
    <t>懸賞：殺死克雷格隊長</t>
  </si>
  <si>
    <t>懸賞：殺死拉德諾</t>
  </si>
  <si>
    <t>懸賞：殺死暗夜潛伏者赫瑞斯</t>
  </si>
  <si>
    <t>懸賞：殺死凋腐</t>
  </si>
  <si>
    <t>懸賞：殺死疥癬</t>
  </si>
  <si>
    <t>懸賞：殺死米菈•埃蒙</t>
  </si>
  <si>
    <t>懸賞：殺死衝狂</t>
  </si>
  <si>
    <t>懸賞：殺死恐爪躍行魔</t>
  </si>
  <si>
    <t>懸賞：殺死咆哮者</t>
  </si>
  <si>
    <t>懸賞：殺死「兇煞」克瑞歐姆</t>
  </si>
  <si>
    <t>懸賞：殺死快腿梅邁克</t>
  </si>
  <si>
    <t>懸賞：殺死「魔鑰守護者」奧迪格</t>
  </si>
  <si>
    <t>懸賞：殺死羅古特</t>
  </si>
  <si>
    <t>懸賞：殺死老樹公</t>
  </si>
  <si>
    <t>懸賞：殺死小丑索諾比</t>
  </si>
  <si>
    <t>懸賞：殺死典獄長</t>
  </si>
  <si>
    <t>懸賞：殺死狂戰士骨渣</t>
  </si>
  <si>
    <t>懸賞：殺死病瘟的加拉齊</t>
  </si>
  <si>
    <t>懸賞：殺死樹拳•木頭</t>
  </si>
  <si>
    <t>懸賞：殺死病瘟的戰狂</t>
  </si>
  <si>
    <t>懸賞：殺死打擊者碎顱</t>
  </si>
  <si>
    <t>懸賞：殺死折磨者克拉蘇斯</t>
  </si>
  <si>
    <t>懸賞：殺死邪教大審判官</t>
  </si>
  <si>
    <t>懸賞：殺死費可拉爾的鬼魂</t>
  </si>
  <si>
    <t>懸賞：殺死賈路許•沃丹</t>
  </si>
  <si>
    <t>懸賞：殺死厲擊</t>
  </si>
  <si>
    <t>懸賞：殺死霍桑•加寶</t>
  </si>
  <si>
    <t>懸賞：殺死布洛恩領主</t>
  </si>
  <si>
    <t>懸賞：殺死穿刺者布瑞斯</t>
  </si>
  <si>
    <t>懸賞：殺死喚亡者卡胡爾</t>
  </si>
  <si>
    <t>懸賞：殺死丘帕•卡茲拉</t>
  </si>
  <si>
    <t>懸賞：殺死戰士婁格魯克</t>
  </si>
  <si>
    <t>懸賞：殺死強兵駱札克</t>
  </si>
  <si>
    <t>懸賞：殺死紅巨岩</t>
  </si>
  <si>
    <t>懸賞：殺死司凱林拉斯</t>
  </si>
  <si>
    <t>懸賞：殺死劇毒的亞瑟特</t>
  </si>
  <si>
    <t>懸賞：殺死咒謾者酷瑞許</t>
  </si>
  <si>
    <t>懸賞：殺死毒寡婦萊絲琳</t>
  </si>
  <si>
    <t>懸賞：殺死毒齧</t>
  </si>
  <si>
    <t>懸賞：殺死劇毒的杰洛伯</t>
  </si>
  <si>
    <t>懸賞：殺死狂戰士碎骨</t>
  </si>
  <si>
    <t>懸賞：殺死大祭司穆朵斯</t>
  </si>
  <si>
    <t>懸賞：殺死教士鳩羅</t>
  </si>
  <si>
    <t>懸賞：殺死狂戰士夏馬</t>
  </si>
  <si>
    <t>懸賞：殺死召魔者尚達爾</t>
  </si>
  <si>
    <t>懸賞：殺死葉什</t>
  </si>
  <si>
    <t>懸賞：殺死巴希歐克</t>
  </si>
  <si>
    <t>懸賞：殺死葛萊席恩</t>
  </si>
  <si>
    <t>懸賞：殺死盤蛇卡扈爾</t>
  </si>
  <si>
    <t>懸賞：殺死疤爪</t>
  </si>
  <si>
    <t>懸賞：殺死「魔鑰守護者」蘇克赫</t>
  </si>
  <si>
    <t>懸賞：殺死托爾撒</t>
  </si>
  <si>
    <t>懸賞：殺死穿刺者川迪恩</t>
  </si>
  <si>
    <t>懸賞：殺死巴爾扎克</t>
  </si>
  <si>
    <t>懸賞：殺死矮子巴堤</t>
  </si>
  <si>
    <t>懸賞：殺死審判官哈瑪斯</t>
  </si>
  <si>
    <t>懸賞：殺死追逐者薩馬拉斯</t>
  </si>
  <si>
    <t>懸賞：殺死阿胥克</t>
  </si>
  <si>
    <t>懸賞：殺死瘋子加特</t>
  </si>
  <si>
    <t>懸賞：殺死令人畏懼的赫明特</t>
  </si>
  <si>
    <t>懸賞：殺死剃刃嘴</t>
  </si>
  <si>
    <t>懸賞：殺死狂刀手煞哈</t>
  </si>
  <si>
    <t>懸賞：殺死狂野的塔羅斯</t>
  </si>
  <si>
    <t>懸賞：殺死魔嬰布拉格</t>
  </si>
  <si>
    <t>懸賞：殺死血羽</t>
  </si>
  <si>
    <t>懸賞：殺死大法師米司堅</t>
  </si>
  <si>
    <t>懸賞：殺死九蟆</t>
  </si>
  <si>
    <t>懸賞：殺死帕祖祖</t>
  </si>
  <si>
    <t>懸賞：殺死受詛者普拉格</t>
  </si>
  <si>
    <t>懸賞：殺死惡毒的雷哈</t>
  </si>
  <si>
    <t>懸賞：殺死沽瀘</t>
  </si>
  <si>
    <t>懸賞：殺死詛咒者奧茲</t>
  </si>
  <si>
    <t>懸賞：殺死死螫蟲群</t>
  </si>
  <si>
    <t>懸賞：殺死亞卡拉</t>
  </si>
  <si>
    <t>懸賞：殺死地獄吼</t>
  </si>
  <si>
    <t>懸賞：殺死大法師寇司塔斯</t>
  </si>
  <si>
    <t>懸賞：殺死大法師弗萊德雷</t>
  </si>
  <si>
    <t>懸賞：殺死大法師古揚</t>
  </si>
  <si>
    <t>懸賞：殺死大法師司寇馬拉</t>
  </si>
  <si>
    <t>懸賞：殺死秘庫管理員</t>
  </si>
  <si>
    <t>懸賞：殺死書籍管理員</t>
  </si>
  <si>
    <t>懸賞：殺死瑟恩</t>
  </si>
  <si>
    <t>懸賞：殺死狂怒魔暴徒</t>
  </si>
  <si>
    <t>懸賞：殺死阿爾卡多</t>
  </si>
  <si>
    <t>懸賞：殺死巴魯克斯</t>
  </si>
  <si>
    <t>懸賞：殺死強棍打臉</t>
  </si>
  <si>
    <t>懸賞：殺死磚頂</t>
  </si>
  <si>
    <t>懸賞：殺死欺詐者甘薩</t>
  </si>
  <si>
    <t>懸賞：殺死不赦者葛里洛德</t>
  </si>
  <si>
    <t>懸賞：殺死馬丘賽斯</t>
  </si>
  <si>
    <t>懸賞：殺死勇猛的歐庇斯</t>
  </si>
  <si>
    <t>懸賞：殺死破壞者索姆普</t>
  </si>
  <si>
    <t>懸賞：殺死「魔鑰守護者」薩瑞斯</t>
  </si>
  <si>
    <t>懸賞：殺死惡魔弩砲</t>
  </si>
  <si>
    <t>懸賞：殺死餘火妖蝠</t>
  </si>
  <si>
    <t>懸賞：殺死殘忍的賈烈姆</t>
  </si>
  <si>
    <t>懸賞：殺死兇蠻的謝提克</t>
  </si>
  <si>
    <t>懸賞：殺死恐爪惡魔妖蝠</t>
  </si>
  <si>
    <t>懸賞：殺死碩妖</t>
  </si>
  <si>
    <t>懸賞：殺死重拳盧魔克</t>
  </si>
  <si>
    <t>懸賞：殺死單卓拉哈爾</t>
  </si>
  <si>
    <t>懸賞：殺死埃爾特</t>
  </si>
  <si>
    <t>懸賞：殺死迦倫</t>
  </si>
  <si>
    <t>懸賞：殺死塔菈</t>
  </si>
  <si>
    <t>懸賞：殺死磺石裂</t>
  </si>
  <si>
    <t>懸賞：殺死蠍老闆</t>
  </si>
  <si>
    <t>懸賞：殺死邪惡的迪蒙妮卡</t>
  </si>
  <si>
    <t>懸賞：殺死茍烈許</t>
  </si>
  <si>
    <t>懸賞：殺死哈克斬</t>
  </si>
  <si>
    <t>懸賞：殺死笞劈</t>
  </si>
  <si>
    <t>懸賞：殺死兇斧斷</t>
  </si>
  <si>
    <t>懸賞：殺死巨魔茍羅葛</t>
  </si>
  <si>
    <t>懸賞：殺死毒魔蠍</t>
  </si>
  <si>
    <t>懸賞：殺死矛兵手查魯奇</t>
  </si>
  <si>
    <t>懸賞：殺死穢邪的毛剛</t>
  </si>
  <si>
    <t>懸賞：殺死銳齒</t>
  </si>
  <si>
    <t>懸賞：殺死大盜史尼奇</t>
  </si>
  <si>
    <t>懸賞：殺死戈蒙甘</t>
  </si>
  <si>
    <t>懸賞：殺死嗥牙</t>
  </si>
  <si>
    <t>懸賞：殺死絕截爪</t>
  </si>
  <si>
    <t>懸賞：殺死劇毒的瓦里法爾</t>
  </si>
  <si>
    <t>懸賞：殺死恐怖的阿若希斯</t>
  </si>
  <si>
    <t>懸賞：殺死處決者斧斃</t>
  </si>
  <si>
    <t>懸賞：殺死巴侯藍</t>
  </si>
  <si>
    <t>懸賞：殺死粉碎者</t>
  </si>
  <si>
    <t>懸賞：殺死穿心箭比拉格</t>
  </si>
  <si>
    <t>懸賞：殺死鐵拳古金</t>
  </si>
  <si>
    <t>懸賞：殺死兇暴灰火飢</t>
  </si>
  <si>
    <t>懸賞：殺死達列隊長</t>
  </si>
  <si>
    <t>懸賞：殺死亞當唐恩隊長</t>
  </si>
  <si>
    <t>懸賞：殺死笞舌</t>
  </si>
  <si>
    <t>懸賞：殺死棘背</t>
  </si>
  <si>
    <t>懸賞：殺死懼握</t>
  </si>
  <si>
    <t>懸賞：殺死「打手」格婁克</t>
  </si>
  <si>
    <t>懸賞：殺死魔怪梅沙克</t>
  </si>
  <si>
    <t>懸賞：殺死布魯圖</t>
  </si>
  <si>
    <t>懸賞：殺死畸形的希拉格</t>
  </si>
  <si>
    <t>懸賞：殺死兇殘的馬格魯斯</t>
  </si>
  <si>
    <t>懸賞：殺死西摩里斯</t>
  </si>
  <si>
    <t>懸賞：殺死燼懼</t>
  </si>
  <si>
    <t>懸賞：殺死厄拉</t>
  </si>
  <si>
    <t>懸賞：殺死拉西耶特</t>
  </si>
  <si>
    <t>懸賞：殺死「魔鑰守護者」涅卡拉特</t>
  </si>
  <si>
    <t>懸賞：殺死蒼白騎士貝雷斯</t>
  </si>
  <si>
    <t>懸賞：殺死葛安</t>
  </si>
  <si>
    <t>懸賞：殺死奧塔旭</t>
  </si>
  <si>
    <t>懸賞：殺死怨慟化身</t>
  </si>
  <si>
    <t>懸賞：殺死苦痛化身</t>
  </si>
  <si>
    <t>懸賞：殺死卡騰</t>
  </si>
  <si>
    <t>懸賞：殺死毀滅化身</t>
  </si>
  <si>
    <t>懸賞：殺死炬燃</t>
  </si>
  <si>
    <t>懸賞：殺死兇殘的維尚</t>
  </si>
  <si>
    <t>懸賞：殺死「無魂者」殘夜</t>
  </si>
  <si>
    <t>懸賞：殺死霍瑞斯</t>
  </si>
  <si>
    <t>懸賞：殺死羅凱</t>
  </si>
  <si>
    <t>懸賞：殺死騷索</t>
  </si>
  <si>
    <t>懸賞：殺死罪惡化身</t>
  </si>
  <si>
    <t>懸賞：殺死恐懼化身</t>
  </si>
  <si>
    <t>懸賞：殺死污穢的凱辛德菈</t>
  </si>
  <si>
    <t>懸賞：殺死受詛者派爾斯</t>
  </si>
  <si>
    <t>懸賞：殺死巨獸史拉格</t>
  </si>
  <si>
    <t>懸賞：殺死憎恨化身</t>
  </si>
  <si>
    <t>懸賞：殺死謊言化身</t>
  </si>
  <si>
    <t>懸賞：殺死安杜西亞斯</t>
  </si>
  <si>
    <t>懸賞：殺死負罪者維伐</t>
  </si>
  <si>
    <t>懸賞：殺死疫病魔索柏諾克</t>
  </si>
  <si>
    <t>懸賞：殺死褻瀆者巴拉崔斯克</t>
  </si>
  <si>
    <t>懸賞：殺死薩凡</t>
  </si>
  <si>
    <t>懸賞：殺死佐瑞斯</t>
  </si>
  <si>
    <t>懸賞：殺死洛葛拉斯</t>
  </si>
  <si>
    <t>懸賞：殺死賽瑟斯</t>
  </si>
  <si>
    <t>懸賞：殺死殘虐者沃特斯克</t>
  </si>
  <si>
    <t>懸賞：殺死厄蒂絲</t>
  </si>
  <si>
    <t>懸賞：殺死希德洛斯</t>
  </si>
  <si>
    <t>懸賞：殺死普拉爾</t>
  </si>
  <si>
    <t>懸賞：殺死坦格里斯</t>
  </si>
  <si>
    <t>懸賞：殺死巴里哈塔</t>
  </si>
  <si>
    <t>懸賞：殺死巴里摩庫</t>
  </si>
  <si>
    <t>懸賞：殺死納克庫金</t>
  </si>
  <si>
    <t>懸賞：殺死納克薩魯</t>
  </si>
  <si>
    <t>懸賞：殺死擲狂魔艾馬許</t>
  </si>
  <si>
    <t>懸賞：殺死噬牙狂蝠</t>
  </si>
  <si>
    <t>懸賞：殺死魯卡</t>
  </si>
  <si>
    <t>懸賞：殺死勒克</t>
  </si>
  <si>
    <t>懸賞：殺死暴虐獸摩格姆</t>
  </si>
  <si>
    <t>懸賞：殺死闊瑞爾</t>
  </si>
  <si>
    <t>懸賞：殺死陷阱投擲魔</t>
  </si>
  <si>
    <t>懸賞：殺死塔達迪亞</t>
  </si>
  <si>
    <t>懸賞：殺死邪爪沼魔</t>
  </si>
  <si>
    <t>懸賞：殺死卡爾莫</t>
  </si>
  <si>
    <t>懸賞：殺死維克馬魯</t>
  </si>
  <si>
    <t>懸賞：殺死維克塔柏</t>
  </si>
  <si>
    <t>懸賞：殺死傑柏隊長</t>
  </si>
  <si>
    <t>懸賞：殺死戴爾•霍桑</t>
  </si>
  <si>
    <t>懸賞：殺死加茲羅</t>
  </si>
  <si>
    <t>懸賞：殺死伊果•史塔佛斯</t>
  </si>
  <si>
    <t>懸賞：殺死奸狡者卡戈</t>
  </si>
  <si>
    <t>懸賞：殺死凱特琳•貝茨</t>
  </si>
  <si>
    <t>懸賞：殺死厭憎者馬坦薩斯</t>
  </si>
  <si>
    <t>懸賞：殺死龐提烏斯</t>
  </si>
  <si>
    <t>懸賞：殺死耶加契夫</t>
  </si>
  <si>
    <t>懸賞：殺死米齊博爾</t>
  </si>
  <si>
    <t>懸賞：殺死潘•費茲本</t>
  </si>
  <si>
    <t>懸賞：殺死詛咒者薩瑪利斯</t>
  </si>
  <si>
    <t>懸賞：殺死希爾多夏•布赫</t>
  </si>
  <si>
    <t>懸賞：殺死崔賈克</t>
  </si>
  <si>
    <t>懸賞：殺死貝瑟斯</t>
  </si>
  <si>
    <t>懸賞：殺死布盧</t>
  </si>
  <si>
    <t>懸賞：殺死博苟斯</t>
  </si>
  <si>
    <t>懸賞：殺死腐噬隧岩蟲</t>
  </si>
  <si>
    <t>懸賞：殺死詭岩</t>
  </si>
  <si>
    <t>懸賞：殺死黑茲艾爾</t>
  </si>
  <si>
    <t>懸賞：殺死瑪格瑞薩</t>
  </si>
  <si>
    <t>懸賞：殺死恐魔穆立克</t>
  </si>
  <si>
    <t>懸賞：殺死曜岩歐布斯</t>
  </si>
  <si>
    <t>懸賞：殺死巨岩克洛斯</t>
  </si>
  <si>
    <t>懸賞：殺死薩塔</t>
  </si>
  <si>
    <t>懸賞：殺死瑟維拉葛</t>
  </si>
  <si>
    <t>懸賞：殺死腐腫隧岩蟲</t>
  </si>
  <si>
    <t>懸賞：殺死沃特瑞斯</t>
  </si>
  <si>
    <t>懸賞：藥劑師的兄弟</t>
  </si>
  <si>
    <t>懸賞：詛咒庭院</t>
  </si>
  <si>
    <t>懸賞：詛咒骸骨之室</t>
  </si>
  <si>
    <t>懸賞：魂甕</t>
  </si>
  <si>
    <t>懸賞：領主夫人的遺骨</t>
  </si>
  <si>
    <t>懸賞：詛咒地窖</t>
  </si>
  <si>
    <t>懸賞：被包圍的農場</t>
  </si>
  <si>
    <t>懸賞：飛蝠農場</t>
  </si>
  <si>
    <t>懸賞：詛咒林地</t>
  </si>
  <si>
    <t>懸賞：詛咒磨坊</t>
  </si>
  <si>
    <t>懸賞：雷斯的家人</t>
  </si>
  <si>
    <t>懸賞：珍貴的礦脈</t>
  </si>
  <si>
    <t>懸賞：恢復名聲</t>
  </si>
  <si>
    <t>懸賞：需要幫助的陌生人</t>
  </si>
  <si>
    <t>懸賞：詛咒烈火</t>
  </si>
  <si>
    <t>懸賞：永恆之戰</t>
  </si>
  <si>
    <t>懸賞：先祖的最後一戰</t>
  </si>
  <si>
    <t>懸賞：賈巴德的復仇</t>
  </si>
  <si>
    <t>懸賞：被偷走的劍鞘</t>
  </si>
  <si>
    <t>懸賞：詛咒營地</t>
  </si>
  <si>
    <t>懸賞：詛咒巢穴</t>
  </si>
  <si>
    <t>懸賞：達卡布可汗失落的寶藏</t>
  </si>
  <si>
    <t>懸賞：卡米爾的囚犯</t>
  </si>
  <si>
    <t xml:space="preserve">懸賞：沙爾達的寶藏 </t>
  </si>
  <si>
    <t>懸賞：詛咒淺灘</t>
  </si>
  <si>
    <t>懸賞：拉卡尼休聖壇</t>
  </si>
  <si>
    <t>懸賞：動盪的沙塵</t>
  </si>
  <si>
    <t>懸賞：里格納爾塑像</t>
  </si>
  <si>
    <t>懸賞：崩塌的寶庫</t>
  </si>
  <si>
    <t>懸賞：守護者之魂</t>
  </si>
  <si>
    <t>懸賞：礦工的金幣</t>
  </si>
  <si>
    <t>懸賞：拉庫尼的巢穴</t>
  </si>
  <si>
    <t>懸賞：詛咒城垛</t>
  </si>
  <si>
    <t>懸賞：詛咒哨站</t>
  </si>
  <si>
    <t>懸賞：詛咒秘庫</t>
  </si>
  <si>
    <t>懸賞：腐臭水源</t>
  </si>
  <si>
    <t>懸賞：詛咒地洞</t>
  </si>
  <si>
    <t>懸賞：詛咒尖塔</t>
  </si>
  <si>
    <t>懸賞：詛咒冰川</t>
  </si>
  <si>
    <t>懸賞：烈火榮耀</t>
  </si>
  <si>
    <t>懸賞：瘋狂攀爬者</t>
  </si>
  <si>
    <t>懸賞：祭塔之王</t>
  </si>
  <si>
    <t>懸賞：詛咒火山口</t>
  </si>
  <si>
    <t>懸賞：戰場之煉</t>
  </si>
  <si>
    <t>懸賞：血之羈絆</t>
  </si>
  <si>
    <t>懸賞：詛咒駐軍</t>
  </si>
  <si>
    <t>懸賞：戰爭浪潮</t>
  </si>
  <si>
    <t>懸賞：淨化獄蝠巢</t>
  </si>
  <si>
    <t>懸賞：詛咒佈道所</t>
  </si>
  <si>
    <t>懸賞：注意腳下</t>
  </si>
  <si>
    <t>懸賞：惡兆</t>
  </si>
  <si>
    <t>懸賞：被詛咒的高臺</t>
  </si>
  <si>
    <t>懸賞：詛咒禮拜堂</t>
  </si>
  <si>
    <t>懸賞：遠古刑牢</t>
  </si>
  <si>
    <t>懸賞：失落的軍團</t>
  </si>
  <si>
    <t>懸賞：迫在眉睫</t>
  </si>
  <si>
    <t>懸賞：水晶囚牢</t>
  </si>
  <si>
    <t>懸賞：猛烈攻擊</t>
  </si>
  <si>
    <t>懸賞：惡魔牢籠</t>
  </si>
  <si>
    <t>懸賞：惡魔之魂</t>
  </si>
  <si>
    <t>懸賞：審判</t>
  </si>
  <si>
    <t>懸賞：虔信之躍</t>
  </si>
  <si>
    <t>懸賞：被詛咒的戰情室</t>
  </si>
  <si>
    <t>懸賞：傷慟祭壇</t>
  </si>
  <si>
    <t>懸賞：捍衛家族墓穴</t>
  </si>
  <si>
    <t>懸賞：盜墓賊羅伯特</t>
  </si>
  <si>
    <t>懸賞：墓園告急</t>
  </si>
  <si>
    <t>懸賞：潘妮的請求</t>
  </si>
  <si>
    <t>懸賞：涅法雷姆的聖物</t>
  </si>
  <si>
    <t>懸賞：黃金之間</t>
  </si>
  <si>
    <t>懸賞：愚者之王</t>
  </si>
  <si>
    <t>懸賞：研究的難題</t>
  </si>
  <si>
    <t>懸賞：沼澤怪秘寶</t>
  </si>
  <si>
    <t>懸賞：火焚之人</t>
  </si>
  <si>
    <t>懸賞：詛咒之城</t>
  </si>
  <si>
    <t>懸賞：被詛咒的泥炭</t>
  </si>
  <si>
    <t>懸賞：沼嶺之王</t>
  </si>
  <si>
    <t>懸賞：孵化室</t>
  </si>
  <si>
    <t>懸賞：死於恥辱</t>
  </si>
  <si>
    <t>懸賞：烈焰風暴</t>
  </si>
  <si>
    <t>懸賞：擅闖民宅</t>
  </si>
  <si>
    <t>懸賞：法術失靈</t>
  </si>
  <si>
    <t>懸賞：死靈法師的選擇</t>
  </si>
  <si>
    <t>懸賞：屠殺貴族</t>
  </si>
  <si>
    <t>懸賞：憤怒的亡靈</t>
  </si>
  <si>
    <t>懸賞：詛咒廣場</t>
  </si>
  <si>
    <t>懸賞：奪魂</t>
  </si>
  <si>
    <t>懸賞：背水一戰</t>
  </si>
  <si>
    <t>懸賞：拯救巡邏兵</t>
  </si>
  <si>
    <t>懸賞：守財奴的遺囑</t>
  </si>
  <si>
    <t>懸賞：農民造反</t>
  </si>
  <si>
    <t>懸賞：重生的教徒</t>
  </si>
  <si>
    <t>懸賞：托利佛的最後一戰</t>
  </si>
  <si>
    <t>懸賞：死亡之觸</t>
  </si>
  <si>
    <t>懸賞：園中漫步</t>
  </si>
  <si>
    <t>懸賞：尋遺鉤沉</t>
  </si>
  <si>
    <t>懸賞：躲貓貓</t>
  </si>
  <si>
    <t>懸賞：逃出火海</t>
  </si>
  <si>
    <t>懸賞：疫鼠為患</t>
  </si>
  <si>
    <t>懸賞：詛咒骨坑</t>
  </si>
  <si>
    <t>懸賞：狼王的真子</t>
  </si>
  <si>
    <t>懸賞：聲東擊西</t>
  </si>
  <si>
    <t>懸賞：死而複生</t>
  </si>
  <si>
    <t>懸賞：詛咒水晶</t>
  </si>
  <si>
    <t>懸賞：詛咒之境</t>
  </si>
  <si>
    <t>懸賞：惡魔藏寶</t>
  </si>
  <si>
    <t>懸賞：惡魔囚犯</t>
  </si>
  <si>
    <t>懸賞：摰魂儀</t>
  </si>
  <si>
    <t>懸賞：岩巢</t>
  </si>
  <si>
    <t>懸賞：被遺忘在時間洪流中的戰爭</t>
  </si>
  <si>
    <t>寒霜洞窟</t>
    <phoneticPr fontId="20" type="noConversion"/>
  </si>
  <si>
    <t>落冰洞穴</t>
    <phoneticPr fontId="20" type="noConversion"/>
  </si>
  <si>
    <t>戰場儲藏所</t>
    <phoneticPr fontId="7" type="noConversion"/>
  </si>
  <si>
    <t>鑄造廠</t>
    <phoneticPr fontId="7" type="noConversion"/>
  </si>
  <si>
    <t>溺水沼地-兇險洞窟</t>
    <phoneticPr fontId="20" type="noConversion"/>
  </si>
  <si>
    <t>衛斯馬屈城中區-瘟疫地道</t>
    <phoneticPr fontId="20" type="noConversion"/>
  </si>
  <si>
    <t>衛斯馬屈山城區-骸骨地窖</t>
    <phoneticPr fontId="20" type="noConversion"/>
  </si>
  <si>
    <t>悬赏任务：清理遭围高塔二层</t>
  </si>
  <si>
    <t>悬赏任务：清理西部水渠</t>
  </si>
  <si>
    <t>悬赏任务：清理东部水渠</t>
  </si>
  <si>
    <t>悬赏任务：清理先祖墓穴</t>
  </si>
  <si>
    <t>悬赏任务：清理勇士之陵</t>
  </si>
  <si>
    <t>悬赏任务：清理卡兹拉洞穴</t>
  </si>
  <si>
    <t>悬赏任务：清理食腐魔洞穴</t>
  </si>
  <si>
    <t>悬赏任务：清理月亮部族洞穴</t>
  </si>
  <si>
    <t>悬赏任务：清理堕落者的洞穴</t>
  </si>
  <si>
    <t>悬赏任务：清理掘地骇物的洞穴</t>
  </si>
  <si>
    <t>悬赏任务：清理邪恶洞窟</t>
  </si>
  <si>
    <t>悬赏任务：清理热风洞窟</t>
  </si>
  <si>
    <t>悬赏任务：清理远古洞穴</t>
  </si>
  <si>
    <t>悬赏任务：清理漫水洞穴</t>
  </si>
  <si>
    <t>悬赏任务：清理神秘洞穴</t>
  </si>
  <si>
    <t>悬赏任务：清理废墟</t>
  </si>
  <si>
    <t>悬赏任务：清理战备物资储藏室二层</t>
  </si>
  <si>
    <t>悬赏任务：清理寒冰洞</t>
  </si>
  <si>
    <t>悬赏任务：清理克莱德的哨所</t>
  </si>
  <si>
    <t>悬赏任务：清理坚固的地堡</t>
  </si>
  <si>
    <t>悬赏任务：清理先锋军营房</t>
  </si>
  <si>
    <t>悬赏任务：清理冰瀑洞穴</t>
  </si>
  <si>
    <t>悬赏任务：清理营房</t>
  </si>
  <si>
    <t>悬赏任务：清理造间</t>
  </si>
  <si>
    <t>悬赏任务：清理桥底</t>
  </si>
  <si>
    <t>悬赏任务：清理地狱裂隙</t>
  </si>
  <si>
    <t>悬赏任务：清理凶险洞穴</t>
  </si>
  <si>
    <t>悬赏任务：清理瘟疫地道</t>
  </si>
  <si>
    <t>悬赏任务：清理公会老巢</t>
  </si>
  <si>
    <t>悬赏任务：清理骸骨地窖</t>
  </si>
  <si>
    <t>悬赏任务：死灰复燃的三神教</t>
  </si>
  <si>
    <t>悬赏任务：沃桑幸存者</t>
  </si>
  <si>
    <t>悬赏任务：蛛后的点心</t>
  </si>
  <si>
    <t>悬赏任务：调查圣殿骑士</t>
  </si>
  <si>
    <t>悬赏任务：古老装置</t>
  </si>
  <si>
    <t>悬赏任务：鲜血与钢铁</t>
  </si>
  <si>
    <t>悬赏任务：邪教的囚徒</t>
  </si>
  <si>
    <t>悬赏任务：失踪的巡逻兵</t>
  </si>
  <si>
    <t>悬赏任务：恶魔之门</t>
  </si>
  <si>
    <t>悬赏任务：痛苦的天使</t>
  </si>
  <si>
    <t>悬赏任务：地狱传送门</t>
  </si>
  <si>
    <t>悬赏任务：拉斯玛的礼物</t>
  </si>
  <si>
    <t>悬赏任务：死亡之拥</t>
  </si>
  <si>
    <t>悬赏任务：地狱饲主巢穴</t>
  </si>
  <si>
    <t>悬赏任务：当心脚下</t>
  </si>
  <si>
    <t>悬赏任务：诅咒讲台</t>
  </si>
  <si>
    <t>悬赏任务：虫标</t>
  </si>
  <si>
    <t>悬赏任务：恶臭水道</t>
  </si>
  <si>
    <t>悬赏任务：诅咒白骨大厅</t>
  </si>
  <si>
    <t>悬赏任务：诅咒庭院</t>
  </si>
  <si>
    <t>悬赏任务：众魂罐</t>
  </si>
  <si>
    <t>悬赏任务：领主夫人的尸骨</t>
  </si>
  <si>
    <t>悬赏任务：永恒之战</t>
  </si>
  <si>
    <t>悬赏任务：先祖英雄之背水一战</t>
  </si>
  <si>
    <t>悬赏任务：诅咒磨坊</t>
  </si>
  <si>
    <t>悬赏任务：雷斯的一家</t>
  </si>
  <si>
    <t>悬赏任务：遭袭的农场</t>
  </si>
  <si>
    <t>悬赏任务：清理食腐鸟</t>
  </si>
  <si>
    <t>悬赏任务：诅咒树林</t>
  </si>
  <si>
    <t>悬赏任务：珍贵的矿石</t>
  </si>
  <si>
    <t>悬赏任务：贾巴德的复仇</t>
  </si>
  <si>
    <t>悬赏任务：诅咒营地</t>
  </si>
  <si>
    <t>悬赏任务：崩塌之塔</t>
  </si>
  <si>
    <t>悬赏任务：被抢走的剑鞘</t>
  </si>
  <si>
    <t>悬赏任务：药剂师的兄弟</t>
  </si>
  <si>
    <t>悬赏任务：诅咒火狱</t>
  </si>
  <si>
    <t>悬赏任务：需要帮助的陌生人</t>
  </si>
  <si>
    <t>悬赏任务：诅咒地窖</t>
  </si>
  <si>
    <t>悬赏任务：诅咒巢穴</t>
  </si>
  <si>
    <t>悬赏任务：诅咒图书馆</t>
  </si>
  <si>
    <t>悬赏任务：诅咒岗哨</t>
  </si>
  <si>
    <t>悬赏任务：诅咒城垛</t>
  </si>
  <si>
    <t>悬赏任务：矿工的黄金</t>
  </si>
  <si>
    <t>悬赏任务：豹人巢穴</t>
  </si>
  <si>
    <t>悬赏任务：失落的坎·达卡布财宝</t>
  </si>
  <si>
    <t>悬赏任务：卡麦尔的囚犯</t>
  </si>
  <si>
    <t>悬赏任务：萨达尔的财宝</t>
  </si>
  <si>
    <t>悬赏任务：拉卡尼休的圣坛</t>
  </si>
  <si>
    <t>悬赏任务：诅咒浅滩</t>
  </si>
  <si>
    <t>悬赏任务：崩裂密室</t>
  </si>
  <si>
    <t>悬赏任务：守护者之魂</t>
  </si>
  <si>
    <t>悬赏任务：躁怒沙漠</t>
  </si>
  <si>
    <t>悬赏任务：雷格纳人偶</t>
  </si>
  <si>
    <t>悬赏任务：诅咒之坑</t>
  </si>
  <si>
    <t>悬赏任务：诅咒高塔</t>
  </si>
  <si>
    <t>悬赏任务：荣耀之焰</t>
  </si>
  <si>
    <t>悬赏任务：血脉相连</t>
  </si>
  <si>
    <t>悬赏任务：疯狂的攀爬者</t>
  </si>
  <si>
    <t>悬赏任务：诅咒冰川</t>
  </si>
  <si>
    <t>悬赏任务：诅咒要塞</t>
  </si>
  <si>
    <t>悬赏任务：力挽狂澜</t>
  </si>
  <si>
    <t>悬赏任务：等待支援</t>
  </si>
  <si>
    <t>悬赏任务：诅咒火山</t>
  </si>
  <si>
    <t>悬赏任务：诅咒深渊</t>
  </si>
  <si>
    <t>悬赏任务：战火铸就</t>
  </si>
  <si>
    <t>悬赏任务：诅咒高台</t>
  </si>
  <si>
    <t>悬赏任务：诅咒教堂</t>
  </si>
  <si>
    <t>悬赏任务：沼泽兽宝藏</t>
  </si>
  <si>
    <t>悬赏任务：诅咒之城</t>
  </si>
  <si>
    <t>悬赏任务：研究难题</t>
  </si>
  <si>
    <t>悬赏任务：诅咒沼泽</t>
  </si>
  <si>
    <t>悬赏任务：沼泽山之王</t>
  </si>
  <si>
    <t>悬赏任务：愚者之王</t>
  </si>
  <si>
    <t>悬赏任务：火人</t>
  </si>
  <si>
    <t>悬赏任务：悲伤祭坛</t>
  </si>
  <si>
    <t>悬赏任务：墓穴专家</t>
  </si>
  <si>
    <t>悬赏任务：盗墓贼</t>
  </si>
  <si>
    <t>悬赏任务：险恶的处境</t>
  </si>
  <si>
    <t>悬赏任务：佩尼的请求</t>
  </si>
  <si>
    <t>悬赏任务：诅咒水晶</t>
  </si>
  <si>
    <t>悬赏任务：恶魔宝藏</t>
  </si>
  <si>
    <t>悬赏任务：被时间所遗忘的战争</t>
  </si>
  <si>
    <t>悬赏任务：诅咒之境</t>
  </si>
  <si>
    <t>悬赏任务：失落军团</t>
  </si>
  <si>
    <t>悬赏任务：复活</t>
  </si>
  <si>
    <t>悬赏任务：声东击西</t>
  </si>
  <si>
    <t>悬赏任务：恶魔囚徒</t>
  </si>
  <si>
    <t>悬赏任务：灭魂仪</t>
  </si>
  <si>
    <t>悬赏任务：岩巢</t>
  </si>
  <si>
    <t>悬赏任务：远古囚牢</t>
  </si>
  <si>
    <t>悬赏任务：猛烈攻击</t>
  </si>
  <si>
    <t>悬赏任务：超时</t>
  </si>
  <si>
    <t>悬赏任务：判决</t>
  </si>
  <si>
    <t>悬赏任务：恶魔之笼</t>
  </si>
  <si>
    <t>悬赏任务：诅咒作战室</t>
  </si>
  <si>
    <t>悬赏任务：水晶牢笼</t>
  </si>
  <si>
    <t>悬赏任务：信仰飞跃</t>
  </si>
  <si>
    <t>悬赏任务：失落的军团</t>
  </si>
  <si>
    <t>悬赏任务：恶魔之魂</t>
  </si>
  <si>
    <t>悬赏任务：孵化室</t>
  </si>
  <si>
    <t>悬赏任务：奈非天圣骨匣</t>
  </si>
  <si>
    <t>悬赏任务：火焰风暴</t>
  </si>
  <si>
    <t>悬赏任务：耻辱之死</t>
  </si>
  <si>
    <t>悬赏任务：诅咒广场</t>
  </si>
  <si>
    <t>悬赏任务：趁火打劫</t>
  </si>
  <si>
    <t>悬赏任务：农民造反</t>
  </si>
  <si>
    <t>悬赏任务：贵族之死</t>
  </si>
  <si>
    <t>悬赏任务：魔法暴走</t>
  </si>
  <si>
    <t>悬赏任务：死灵法师的抉择</t>
  </si>
  <si>
    <t>悬赏任务：重生的邪教徒</t>
  </si>
  <si>
    <t>悬赏任务：被激怒的亡者</t>
  </si>
  <si>
    <t>悬赏任务：收割者</t>
  </si>
  <si>
    <t>悬赏任务：背水一战</t>
  </si>
  <si>
    <t>悬赏任务：守财奴的遗嘱</t>
  </si>
  <si>
    <t>悬赏任务：托里弗的最后一战</t>
  </si>
  <si>
    <t>悬赏任务：死神之触</t>
  </si>
  <si>
    <t>悬赏任务：闲庭信步</t>
  </si>
  <si>
    <t>悬赏任务：诅咒白骨坑</t>
  </si>
  <si>
    <t>悬赏任务：逃离火海</t>
  </si>
  <si>
    <t>悬赏任务：找回记忆</t>
  </si>
  <si>
    <t>悬赏任务：捉迷藏</t>
  </si>
  <si>
    <t>悬赏任务：狼王真子</t>
  </si>
  <si>
    <t>悬赏任务：害虫问题</t>
  </si>
  <si>
    <t>悬赏任务：消灭骷髅王</t>
  </si>
  <si>
    <t>悬赏任务：消灭屠夫</t>
  </si>
  <si>
    <t>悬赏任务：消灭阿拉尼娅蛛后</t>
  </si>
  <si>
    <t>悬赏任务：消灭麦格妲</t>
  </si>
  <si>
    <t>悬赏任务：消灭彼列</t>
  </si>
  <si>
    <t>悬赏任务：消灭佐敦·库勒</t>
  </si>
  <si>
    <t>悬赏任务：消灭攻城突击兽</t>
  </si>
  <si>
    <t>悬赏任务：消灭阿兹莫丹</t>
  </si>
  <si>
    <t>悬赏任务：消灭辛迪娅</t>
  </si>
  <si>
    <t>悬赏任务：消灭冈姆</t>
  </si>
  <si>
    <t>悬赏任务：消灭拉卡诺斯</t>
  </si>
  <si>
    <t>悬赏任务：消灭迪亚波罗</t>
  </si>
  <si>
    <t>悬赏任务：消灭衣卒尔</t>
  </si>
  <si>
    <t>悬赏任务：消灭马萨伊尔</t>
  </si>
  <si>
    <t>悬赏任务：消灭艾德莉亚</t>
  </si>
  <si>
    <t>悬赏任务：消灭厄兹尔</t>
  </si>
  <si>
    <t>悬赏任务：消灭安度西亚</t>
  </si>
  <si>
    <t>悬赏任务：消灭西莫瑞斯</t>
  </si>
  <si>
    <t>悬赏任务：消灭感染者萨布诺克</t>
  </si>
  <si>
    <t>悬赏任务：消灭梅尔法特·拜帕</t>
  </si>
  <si>
    <t>悬赏任务：消灭苍白骑手贝莱斯</t>
  </si>
  <si>
    <t>悬赏任务：消灭灰烬恐魔</t>
  </si>
  <si>
    <t>悬赏任务：消灭憎天</t>
  </si>
  <si>
    <t>悬赏任务：消灭埃拉</t>
  </si>
  <si>
    <t>悬赏任务：消灭古鲁尔</t>
  </si>
  <si>
    <t>悬赏任务：消灭被诅咒的奥特兹</t>
  </si>
  <si>
    <t>悬赏任务：消灭死亡针群</t>
  </si>
  <si>
    <t>悬赏任务：消灭亚卡拉</t>
  </si>
  <si>
    <t>悬赏任务：消灭乱疤巨腹</t>
  </si>
  <si>
    <t>悬赏任务：消灭布拉鲁克·格里莫劳</t>
  </si>
  <si>
    <t>悬赏任务：消灭卡奇队长</t>
  </si>
  <si>
    <t>悬赏任务：消灭克莱格队长</t>
  </si>
  <si>
    <t>悬赏任务：消灭大棒刚臂</t>
  </si>
  <si>
    <t>悬赏任务：消灭召火天鬼</t>
  </si>
  <si>
    <t>悬赏任务：消灭滑翼天鬼</t>
  </si>
  <si>
    <t>悬赏任务：消灭基利安达摩特</t>
  </si>
  <si>
    <t>悬赏任务：消灭莫瑞姆·棘颅</t>
  </si>
  <si>
    <t>悬赏任务：消灭拉德·诺伊</t>
  </si>
  <si>
    <t>悬赏任务：消灭拉古斯·格里莫劳</t>
  </si>
  <si>
    <t>悬赏任务：消灭数据挖掘者</t>
  </si>
  <si>
    <t>悬赏任务：消灭掘墓者奥德尔</t>
  </si>
  <si>
    <t>悬赏任务：消灭德卢瑞·布朗</t>
  </si>
  <si>
    <t>悬赏任务：消灭棺材约翰·格汉姆</t>
  </si>
  <si>
    <t>悬赏任务：消灭堕落的鲁修斯</t>
  </si>
  <si>
    <t>悬赏任务：消灭费克拉的鬼魂</t>
  </si>
  <si>
    <t>悬赏任务：消灭加鲁什·瓦尔丹</t>
  </si>
  <si>
    <t>悬赏任务：消灭格里斯迈</t>
  </si>
  <si>
    <t>悬赏任务：消灭霍松·加伯</t>
  </si>
  <si>
    <t>悬赏任务：消灭布罗内勋爵</t>
  </si>
  <si>
    <t>悬赏任务：消灭冲锋兽</t>
  </si>
  <si>
    <t>悬赏任务：消灭恐爪·跃行者</t>
  </si>
  <si>
    <t>悬赏任务：消灭咆哮者</t>
  </si>
  <si>
    <t>悬赏任务：消灭罪大恶极的克雷姆</t>
  </si>
  <si>
    <t>悬赏任务：消灭迅捷的梅尔麦克</t>
  </si>
  <si>
    <t>悬赏任务：消灭奥德格·钥匙守护者</t>
  </si>
  <si>
    <t>悬赏任务：消灭老家伙</t>
  </si>
  <si>
    <t>悬赏任务：消灭石肠</t>
  </si>
  <si>
    <t>悬赏任务：消灭布拉斯·穿刺者</t>
  </si>
  <si>
    <t>悬赏任务：消灭死亡召唤者卡德胡</t>
  </si>
  <si>
    <t>悬赏任务：消灭楚巴·卡兹拉</t>
  </si>
  <si>
    <t>悬赏任务：消灭战士罗格鲁特</t>
  </si>
  <si>
    <t>悬赏任务：消灭强大的罗扎克</t>
  </si>
  <si>
    <t>悬赏任务：消灭红石</t>
  </si>
  <si>
    <t>悬赏任务：消灭斯克林拉斯</t>
  </si>
  <si>
    <t>悬赏任务：消灭赫鲁高·寻衅者</t>
  </si>
  <si>
    <t>悬赏任务：消灭唤魔师杰泽布</t>
  </si>
  <si>
    <t>悬赏任务：消灭恶毒的克莱伦</t>
  </si>
  <si>
    <t>悬赏任务：消灭可鄙的雷格瑞尔</t>
  </si>
  <si>
    <t>悬赏任务：消灭西奥丁·死亡咏唱者</t>
  </si>
  <si>
    <t>悬赏任务：消灭瘟疫战狂</t>
  </si>
  <si>
    <t>悬赏任务：消灭碎颅·棒槌</t>
  </si>
  <si>
    <t>悬赏任务：消灭断骨狂徒</t>
  </si>
  <si>
    <t>悬赏任务：消灭克拉苏斯·折磨者</t>
  </si>
  <si>
    <t>悬赏任务：消灭邪教徒大审讯官</t>
  </si>
  <si>
    <t>悬赏任务：消灭被折磨的加拉克</t>
  </si>
  <si>
    <t>悬赏任务：消灭愚蠢的索特诺布</t>
  </si>
  <si>
    <t>悬赏任务：消灭树拳木脑</t>
  </si>
  <si>
    <t>悬赏任务：消灭典狱长</t>
  </si>
  <si>
    <t>悬赏任务：消灭剧毒的阿瑟克</t>
  </si>
  <si>
    <t>悬赏任务：消灭库拉什·被唾弃者</t>
  </si>
  <si>
    <t>悬赏任务：消灭拉斯林·寡妇制造者</t>
  </si>
  <si>
    <t>悬赏任务：消灭毒液虫</t>
  </si>
  <si>
    <t>悬赏任务：消灭剧毒的蜇洛比</t>
  </si>
  <si>
    <t>悬赏任务：消灭坎克洛特</t>
  </si>
  <si>
    <t>悬赏任务：消灭荷鲁斯·黑夜追踪者</t>
  </si>
  <si>
    <t>悬赏任务：消灭癞疥兽</t>
  </si>
  <si>
    <t>悬赏任务：消灭米拉·埃蒙</t>
  </si>
  <si>
    <t>悬赏任务：消灭敲骨手</t>
  </si>
  <si>
    <t>悬赏任务：消灭高阶邪教徒墨杜斯</t>
  </si>
  <si>
    <t>悬赏任务：消灭传教士约鲁姆</t>
  </si>
  <si>
    <t>悬赏任务：消灭狠砸怪</t>
  </si>
  <si>
    <t>悬赏任务：消灭唤魔师尚达尔</t>
  </si>
  <si>
    <t>悬赏任务：消灭耶特</t>
  </si>
  <si>
    <t>悬赏任务：消灭顽魔布拉戈</t>
  </si>
  <si>
    <t>悬赏任务：消灭血羽</t>
  </si>
  <si>
    <t>悬赏任务：消灭法圣密斯根</t>
  </si>
  <si>
    <t>悬赏任务：消灭九蟾恶尸</t>
  </si>
  <si>
    <t>悬赏任务：消灭帕祖祖</t>
  </si>
  <si>
    <t>悬赏任务：消灭遭天谴的普拉加</t>
  </si>
  <si>
    <t>悬赏任务：消灭凶恶的莱哈</t>
  </si>
  <si>
    <t>悬赏任务：消灭阿什克</t>
  </si>
  <si>
    <t>悬赏任务：消灭疯子加特</t>
  </si>
  <si>
    <t>悬赏任务：消灭恐惧的赫米特</t>
  </si>
  <si>
    <t>悬赏任务：消灭利刃巨口</t>
  </si>
  <si>
    <t>悬赏任务：消灭萨哈·鞭笞者</t>
  </si>
  <si>
    <t>悬赏任务：消灭狂野的塔洛斯</t>
  </si>
  <si>
    <t>悬赏任务：消灭毕叔</t>
  </si>
  <si>
    <t>悬赏任务：消灭格莱西恩</t>
  </si>
  <si>
    <t>悬赏任务：消灭蛇人卡胡尔</t>
  </si>
  <si>
    <t>悬赏任务：消灭血痕利爪</t>
  </si>
  <si>
    <t>悬赏任务：消灭索卡尔·钥匙守护者</t>
  </si>
  <si>
    <t>悬赏任务：消灭托沙尔</t>
  </si>
  <si>
    <t>悬赏任务：消灭穿刺者崔迪乌恩</t>
  </si>
  <si>
    <t>悬赏任务：消灭巴尔扎克</t>
  </si>
  <si>
    <t>悬赏任务：消灭矮子巴提</t>
  </si>
  <si>
    <t>悬赏任务：消灭拷问者哈马斯</t>
  </si>
  <si>
    <t>悬赏任务：消灭萨马拉斯·追逐者</t>
  </si>
  <si>
    <t>悬赏任务：消灭地狱尖啸者</t>
  </si>
  <si>
    <t>悬赏任务：消灭法圣考斯图斯</t>
  </si>
  <si>
    <t>悬赏任务：消灭法圣弗雷德恩</t>
  </si>
  <si>
    <t>悬赏任务：消灭法圣圭亚恩</t>
  </si>
  <si>
    <t>悬赏任务：消灭法圣思科马拉</t>
  </si>
  <si>
    <t>悬赏任务：消灭档案保管员</t>
  </si>
  <si>
    <t>悬赏任务：消灭典籍守护者</t>
  </si>
  <si>
    <t>悬赏任务：消灭苏姆</t>
  </si>
  <si>
    <t>悬赏任务：消灭狂怒的图基什</t>
  </si>
  <si>
    <t>悬赏任务：消灭琪塔拉</t>
  </si>
  <si>
    <t>悬赏任务：消灭恶魔弩炮</t>
  </si>
  <si>
    <t>悬赏任务：消灭恐爪天鬼</t>
  </si>
  <si>
    <t>悬赏任务：消灭死亡缠须</t>
  </si>
  <si>
    <t>悬赏任务：消灭灰烬之翼</t>
  </si>
  <si>
    <t>悬赏任务：消灭加刚纳格</t>
  </si>
  <si>
    <t>悬赏任务：消灭残忍的加勒姆</t>
  </si>
  <si>
    <t>悬赏任务：消灭争斗者格洛克</t>
  </si>
  <si>
    <t>悬赏任务：消灭残暴的卢默克</t>
  </si>
  <si>
    <t>悬赏任务：消灭墨沙克·天谴之躯</t>
  </si>
  <si>
    <t>悬赏任务：消灭仙德拉哈</t>
  </si>
  <si>
    <t>悬赏任务：消灭残暴的舍提克</t>
  </si>
  <si>
    <t>悬赏任务：消灭狂斩埃克格尔</t>
  </si>
  <si>
    <t>悬赏任务：消灭烈火硫魔</t>
  </si>
  <si>
    <t>悬赏任务：消灭布鲁图</t>
  </si>
  <si>
    <t>悬赏任务：消灭长枪查鲁克</t>
  </si>
  <si>
    <t>悬赏任务：消灭毒蟹</t>
  </si>
  <si>
    <t>悬赏任务：消灭恶毒的魔妮卡</t>
  </si>
  <si>
    <t>悬赏任务：消灭格拉什</t>
  </si>
  <si>
    <t>悬赏任务：消灭尘世之蟒</t>
  </si>
  <si>
    <t>悬赏任务：消灭好斗的葛洛格</t>
  </si>
  <si>
    <t>悬赏任务：消灭嗥牙</t>
  </si>
  <si>
    <t>悬赏任务：消灭哈克索尔</t>
  </si>
  <si>
    <t>悬赏任务：消灭畸形的海鲁格</t>
  </si>
  <si>
    <t>悬赏任务：消灭野蛮的马格鲁斯</t>
  </si>
  <si>
    <t>悬赏任务：消灭邪恶的莫刚</t>
  </si>
  <si>
    <t>悬赏任务：消灭裂鞭</t>
  </si>
  <si>
    <t>悬赏任务：消灭锯齿猛兽</t>
  </si>
  <si>
    <t>悬赏任务：消灭蝎毒</t>
  </si>
  <si>
    <t>悬赏任务：消灭裂爪</t>
  </si>
  <si>
    <t>悬赏任务：消灭大盗史尼奇</t>
  </si>
  <si>
    <t>悬赏任务：消灭剧毒的瓦力法尔</t>
  </si>
  <si>
    <t>悬赏任务：消灭恐怖的阿洛伊休斯</t>
  </si>
  <si>
    <t>悬赏任务：消灭埃克斯格雷·处决者</t>
  </si>
  <si>
    <t>悬赏任务：消灭贝拉戈·穿肉手</t>
  </si>
  <si>
    <t>悬赏任务：消灭波霍兰</t>
  </si>
  <si>
    <t>悬赏任务：消灭戴尔队长</t>
  </si>
  <si>
    <t>悬赏任务：消灭东恩·亚当姆斯队长</t>
  </si>
  <si>
    <t>悬赏任务：消灭钢手古金</t>
  </si>
  <si>
    <t>悬赏任务：消灭鞭舌</t>
  </si>
  <si>
    <t>悬赏任务：消灭粉碎者</t>
  </si>
  <si>
    <t>悬赏任务：消灭棘背兽</t>
  </si>
  <si>
    <t>悬赏任务：消灭恶毒的苍白灰小鬼</t>
  </si>
  <si>
    <t>悬赏任务：消灭阿鲁卡伊德</t>
  </si>
  <si>
    <t>悬赏任务：消灭巴鲁库斯</t>
  </si>
  <si>
    <t>悬赏任务：消灭砸脸重棍</t>
  </si>
  <si>
    <t>悬赏任务：消灭布里克托</t>
  </si>
  <si>
    <t>悬赏任务：消灭甘萨·欺诈者</t>
  </si>
  <si>
    <t>悬赏任务：消灭格瑞洛德·天谴者</t>
  </si>
  <si>
    <t>悬赏任务：消灭马加锡亚</t>
  </si>
  <si>
    <t>悬赏任务：消灭强大的奥比斯</t>
  </si>
  <si>
    <t>悬赏任务：消灭史隆普·破坏者</t>
  </si>
  <si>
    <t>悬赏任务：消灭萨瑞斯·钥匙守护者</t>
  </si>
  <si>
    <t>悬赏任务：消灭痛楚化身</t>
  </si>
  <si>
    <t>悬赏任务：消灭毁灭化身</t>
  </si>
  <si>
    <t>悬赏任务：消灭苦痛化身</t>
  </si>
  <si>
    <t>悬赏任务：消灭考安</t>
  </si>
  <si>
    <t>悬赏任务：消灭卡图恩</t>
  </si>
  <si>
    <t>悬赏任务：消灭奥塔什</t>
  </si>
  <si>
    <t>悬赏任务：消灭燃炬者</t>
  </si>
  <si>
    <t>悬赏任务：消灭凶残的贝桑</t>
  </si>
  <si>
    <t>悬赏任务：消灭索洛托</t>
  </si>
  <si>
    <t>悬赏任务：消灭憎恨化身</t>
  </si>
  <si>
    <t>悬赏任务：消灭谎言化身</t>
  </si>
  <si>
    <t>悬赏任务：消灭罪恶化身</t>
  </si>
  <si>
    <t>悬赏任务：消灭恐惧化身</t>
  </si>
  <si>
    <t>悬赏任务：消灭无魂恶夜</t>
  </si>
  <si>
    <t>悬赏任务：消灭霍雷斯</t>
  </si>
  <si>
    <t>悬赏任务：消灭可耻的姬辛德拉</t>
  </si>
  <si>
    <t>悬赏任务：消灭内卡亚特·钥匙守护者</t>
  </si>
  <si>
    <t>悬赏任务：消灭被诅咒的派尔斯</t>
  </si>
  <si>
    <t>悬赏任务：消灭拉乌·卡耶</t>
  </si>
  <si>
    <t>悬赏任务：消灭萨奥·索</t>
  </si>
  <si>
    <t>悬赏任务：消灭斯拉格·巨兽</t>
  </si>
  <si>
    <t>悬赏任务：消灭灰斑阿尔玛什</t>
  </si>
  <si>
    <t>悬赏任务：消灭夸雷尔</t>
  </si>
  <si>
    <t>悬赏任务：消灭板牙</t>
  </si>
  <si>
    <t>悬赏任务：消灭卢·卡</t>
  </si>
  <si>
    <t>悬赏任务：消灭潜伏</t>
  </si>
  <si>
    <t>悬赏任务：消灭巨兽莫古恩</t>
  </si>
  <si>
    <t>悬赏任务：消灭陷阱投掷兽</t>
  </si>
  <si>
    <t>悬赏任务：消灭塔达迪亚</t>
  </si>
  <si>
    <t>悬赏任务：消灭邪爪</t>
  </si>
  <si>
    <t>悬赏任务：消灭厄蒂斯</t>
  </si>
  <si>
    <t>悬赏任务：消灭赫德罗斯</t>
  </si>
  <si>
    <t>悬赏任务：消灭普拉</t>
  </si>
  <si>
    <t>悬赏任务：消灭塔格瑞斯</t>
  </si>
  <si>
    <t>悬赏任务：消灭布鲁</t>
  </si>
  <si>
    <t>悬赏任务：消灭伯格斯</t>
  </si>
  <si>
    <t>悬赏任务：消灭格罗特斯克</t>
  </si>
  <si>
    <t>悬赏任务：消灭黑兹伊尔</t>
  </si>
  <si>
    <t>悬赏任务：消灭玛格雷塔</t>
  </si>
  <si>
    <t>悬赏任务：消灭瑟维拉格</t>
  </si>
  <si>
    <t>悬赏任务：消灭毕苏斯</t>
  </si>
  <si>
    <t>悬赏任务：消灭布拉斯克·掘洞者</t>
  </si>
  <si>
    <t>悬赏任务：消灭恐怖的穆留克斯</t>
  </si>
  <si>
    <t>悬赏任务：消灭奥布西迪厄斯</t>
  </si>
  <si>
    <t>悬赏任务：消灭洛库鲁斯</t>
  </si>
  <si>
    <t>悬赏任务：消灭萨托尔</t>
  </si>
  <si>
    <t>悬赏任务：消灭斯拉斯·掘洞者</t>
  </si>
  <si>
    <t>悬赏任务：消灭沃特鲁斯</t>
  </si>
  <si>
    <t>悬赏任务：消灭亵渎者巴拉塔斯克</t>
  </si>
  <si>
    <t>悬赏任务：消灭洛格拉斯</t>
  </si>
  <si>
    <t>悬赏任务：消灭赛西斯</t>
  </si>
  <si>
    <t>悬赏任务：消灭残忍的瓦泰斯克</t>
  </si>
  <si>
    <t>悬赏任务：消灭萨菲恩</t>
  </si>
  <si>
    <t>悬赏任务：消灭佐鲁斯</t>
  </si>
  <si>
    <t>悬赏任务：消灭卡尔莫</t>
  </si>
  <si>
    <t>悬赏任务：消灭维克·马鲁</t>
  </si>
  <si>
    <t>悬赏任务：消灭维克·塔波克</t>
  </si>
  <si>
    <t>悬赏任务：消灭巴里·哈塔</t>
  </si>
  <si>
    <t>悬赏任务：消灭巴里·摩库</t>
  </si>
  <si>
    <t>悬赏任务：消灭纳克·库金</t>
  </si>
  <si>
    <t>悬赏任务：消灭纳克·萨鲁格</t>
  </si>
  <si>
    <t>悬赏任务：消灭基伯队长</t>
  </si>
  <si>
    <t>悬赏任务：消灭达尔·霍松</t>
  </si>
  <si>
    <t>悬赏任务：消灭葛茨罗德</t>
  </si>
  <si>
    <t>悬赏任务：消灭伊格·斯塔弗斯</t>
  </si>
  <si>
    <t>悬赏任务：消灭狡猾的卡戈</t>
  </si>
  <si>
    <t>悬赏任务：消灭凯瑟琳·拜兹</t>
  </si>
  <si>
    <t>悬赏任务：消灭可憎的玛坦萨斯</t>
  </si>
  <si>
    <t>悬赏任务：消灭庞提乌斯</t>
  </si>
  <si>
    <t>悬赏任务：消灭耶加切夫</t>
  </si>
  <si>
    <t>悬赏任务：消灭布伦特·布林顿</t>
  </si>
  <si>
    <t>悬赏任务：消灭德尼斯·吉内斯特</t>
  </si>
  <si>
    <t>悬赏任务：消灭格伦图洛斯</t>
  </si>
  <si>
    <t>悬赏任务：消灭崔加卡</t>
  </si>
  <si>
    <t>悬赏任务：消灭梅瑞尔·雷格顿</t>
  </si>
  <si>
    <t>悬赏任务：消灭米奇博尔</t>
  </si>
  <si>
    <t>悬赏任务：消灭潘·菲兹贝恩</t>
  </si>
  <si>
    <t>悬赏任务：消灭苏玛瑞斯·天谴者</t>
  </si>
  <si>
    <t>悬赏任务：消灭西奥多西娅·布赫雷</t>
  </si>
  <si>
    <t>希望園圃第三階（冒险模式）</t>
    <phoneticPr fontId="20" type="noConversion"/>
  </si>
  <si>
    <t>希望花园二层-美德神堂</t>
    <phoneticPr fontId="20" type="noConversion"/>
  </si>
  <si>
    <t>希望花园三层（冒险模式）</t>
    <phoneticPr fontId="20" type="noConversion"/>
  </si>
  <si>
    <t>正在查看：</t>
    <phoneticPr fontId="7" type="noConversion"/>
  </si>
  <si>
    <t>悬赏任务名</t>
    <phoneticPr fontId="85" type="noConversion"/>
  </si>
  <si>
    <t>说明：本表只说明这些地方出现过精英，不代表只在这里出或这里最容易出。</t>
    <phoneticPr fontId="7" type="noConversion"/>
  </si>
  <si>
    <t>说明：部分消灭紫怪的悬赏任务中文名与实际怪物名并不一致，本表收录时均以实际怪物名为准。</t>
    <phoneticPr fontId="7" type="noConversion"/>
  </si>
  <si>
    <t>全章节悬赏任务一览表</t>
    <phoneticPr fontId="7" type="noConversion"/>
  </si>
  <si>
    <t>任务所处地图</t>
    <phoneticPr fontId="7" type="noConversion"/>
  </si>
  <si>
    <t xml:space="preserve">沙爾達的寶藏 </t>
    <phoneticPr fontId="20" type="noConversion"/>
  </si>
  <si>
    <t>萨达尔的财宝</t>
    <phoneticPr fontId="20" type="noConversion"/>
  </si>
  <si>
    <t>Sardar's Treasure</t>
    <phoneticPr fontId="20" type="noConversion"/>
  </si>
  <si>
    <t>如果听完没有打勾，请换个人物再试一次。</t>
    <phoneticPr fontId="7" type="noConversion"/>
  </si>
  <si>
    <t>需要第三章前置对话激活</t>
    <phoneticPr fontId="7" type="noConversion"/>
  </si>
  <si>
    <t>因此请严格按照攻略顺序完成，不要轻易跳过。</t>
    <phoneticPr fontId="7" type="noConversion"/>
  </si>
  <si>
    <r>
      <t>NPC对话分两类：一类是对主线剧情发表看法；一类是讲述自己的故事（特别是三追随者、沈老贪）。</t>
    </r>
    <r>
      <rPr>
        <b/>
        <sz val="11"/>
        <color rgb="FFC00000"/>
        <rFont val="微软雅黑"/>
        <family val="2"/>
        <charset val="134"/>
      </rPr>
      <t>第二类对话通常需要前置对话激活，构成完整剧情。</t>
    </r>
    <phoneticPr fontId="7" type="noConversion"/>
  </si>
  <si>
    <t>血肉猎食者</t>
    <phoneticPr fontId="20" type="noConversion"/>
  </si>
  <si>
    <t>Gore Harrier</t>
    <phoneticPr fontId="20" type="noConversion"/>
  </si>
  <si>
    <t>血污獵鷹</t>
    <phoneticPr fontId="20" type="noConversion"/>
  </si>
  <si>
    <t>不稳岩洞</t>
    <phoneticPr fontId="20" type="noConversion"/>
  </si>
  <si>
    <t>Unstable Cavern</t>
    <phoneticPr fontId="20" type="noConversion"/>
  </si>
  <si>
    <t>崩塌的洞窟</t>
    <phoneticPr fontId="20" type="noConversion"/>
  </si>
  <si>
    <t>2.2新增场景，尚未开发完毕</t>
    <phoneticPr fontId="7" type="noConversion"/>
  </si>
  <si>
    <t>Tower of The Cursed Level 1</t>
    <phoneticPr fontId="20" type="noConversion"/>
  </si>
  <si>
    <t>野蛮人</t>
    <phoneticPr fontId="49" type="noConversion"/>
  </si>
  <si>
    <t>基本目标</t>
    <phoneticPr fontId="49" type="noConversion"/>
  </si>
  <si>
    <t>全职业套装地下城简明攻略</t>
    <phoneticPr fontId="7" type="noConversion"/>
  </si>
  <si>
    <t>入口位置</t>
    <phoneticPr fontId="7" type="noConversion"/>
  </si>
  <si>
    <t>难度系数</t>
    <phoneticPr fontId="7" type="noConversion"/>
  </si>
  <si>
    <t>简明攻略</t>
    <phoneticPr fontId="7" type="noConversion"/>
  </si>
  <si>
    <t>「废土之怒」</t>
    <phoneticPr fontId="49" type="noConversion"/>
  </si>
  <si>
    <t>在地城內期間完全不受任何物理傷害</t>
    <phoneticPr fontId="7" type="noConversion"/>
  </si>
  <si>
    <t>★★☆☆☆</t>
    <phoneticPr fontId="7" type="noConversion"/>
  </si>
  <si>
    <t>★★★☆☆</t>
    <phoneticPr fontId="7" type="noConversion"/>
  </si>
  <si>
    <t>「蕾蔻的传世铠」</t>
    <phoneticPr fontId="49" type="noConversion"/>
  </si>
  <si>
    <t>「大地之力」</t>
    <phoneticPr fontId="49" type="noConversion"/>
  </si>
  <si>
    <t>主要目标</t>
  </si>
  <si>
    <t>圣教军</t>
    <phoneticPr fontId="49" type="noConversion"/>
  </si>
  <si>
    <t>「阿克汉的战甲」</t>
    <phoneticPr fontId="49" type="noConversion"/>
  </si>
  <si>
    <t>在250%傷害加成效果下殺死每隻精英怪</t>
    <phoneticPr fontId="7" type="noConversion"/>
  </si>
  <si>
    <t>以狂暴衝鋒一次擊中 15 個不同的敵人，共 6 次</t>
    <phoneticPr fontId="7" type="noConversion"/>
  </si>
  <si>
    <t>使用 1500% 傷害加成效果的能量消耗技能，擊中 15 次不同的敵人</t>
    <phoneticPr fontId="7" type="noConversion"/>
  </si>
  <si>
    <t>對每個精英怪在 6 秒內依序使出躍擊、震地踐踏和裂地之震</t>
    <phoneticPr fontId="7" type="noConversion"/>
  </si>
  <si>
    <t>在一分鐘內，每 10 秒鐘至少要擊殺 1 個凍結的敵人</t>
    <phoneticPr fontId="7" type="noConversion"/>
  </si>
  <si>
    <t>以天譴一次擊中 10 個不同的敵人，共 12 次</t>
    <phoneticPr fontId="7" type="noConversion"/>
  </si>
  <si>
    <t>★★★★☆</t>
    <phoneticPr fontId="7" type="noConversion"/>
  </si>
  <si>
    <t>「罗兰的传世甲」</t>
    <phoneticPr fontId="49" type="noConversion"/>
  </si>
  <si>
    <t>在 10 秒內消耗 300 點聖怒，共 5 次</t>
    <phoneticPr fontId="7" type="noConversion"/>
  </si>
  <si>
    <t>在聖化結界中開啟鋼鐵之甲，並擊殺 5 個精英怪</t>
    <phoneticPr fontId="7" type="noConversion"/>
  </si>
  <si>
    <t>★☆☆☆☆</t>
    <phoneticPr fontId="7" type="noConversion"/>
  </si>
  <si>
    <t>「召魔者的棘刺」</t>
    <phoneticPr fontId="49" type="noConversion"/>
  </si>
  <si>
    <t>6招魔者套，反伤流。
注意控制荆棘伤害量，尽量不要超过20万，故意让每只羊头人击中3次左右即可。
装备「劈肉斧」，白怪靠平砍和反伤；[奉献]和[钢铁之肤]留给精英怪。</t>
    <phoneticPr fontId="7" type="noConversion"/>
  </si>
  <si>
    <t>在 15 秒內施放 3 次天罰之劍，共 3 次</t>
    <phoneticPr fontId="7" type="noConversion"/>
  </si>
  <si>
    <t>完全不讓任何一發轟砲擊中你</t>
    <phoneticPr fontId="7" type="noConversion"/>
  </si>
  <si>
    <t>「圣光追寻者」</t>
    <phoneticPr fontId="49" type="noConversion"/>
  </si>
  <si>
    <t>6圣光套，祝福之锤流。
使用[祝福之锤]作为伤害输出，还可配合「黄道黑曜石之戒」刷CD。在怪物较多的区域使用[天罚之剑-迅击之剑]，可进一步缩短技能CD。
看到精英怪直接近身贴上，躲开所有轰炮。</t>
    <phoneticPr fontId="7" type="noConversion"/>
  </si>
  <si>
    <t>6罗兰套，扫击流。
熟练掌握扫击流的输出节奏，使用[横扫]并配合强制移动，既能提高清图效率，还方便完成耗怒目标。建议激活[希望律法-天使之翼]，进一步提高移动速度。
在怪物较多的区域，可使用[天谴-聚能强吸]聚怪，完成对应目标5次即可。
该地下城较大，分岔较多，请提前设计好路线，避免走回头路。</t>
    <phoneticPr fontId="7" type="noConversion"/>
  </si>
  <si>
    <t>猎魔人</t>
    <phoneticPr fontId="49" type="noConversion"/>
  </si>
  <si>
    <t>「娜塔亚的复仇」</t>
    <phoneticPr fontId="49" type="noConversion"/>
  </si>
  <si>
    <t>「暗影装束」</t>
    <phoneticPr fontId="49" type="noConversion"/>
  </si>
  <si>
    <t>「掠夺者的化身」</t>
    <phoneticPr fontId="49" type="noConversion"/>
  </si>
  <si>
    <t>以單次多重射擊命中 20 個敵人，共 6 次</t>
    <phoneticPr fontId="7" type="noConversion"/>
  </si>
  <si>
    <t>6邪秽套，多重射击流。
该地下城怪物较为分散，数量有限，在确认前方怪物密集程度前，不要随便开火。</t>
    <phoneticPr fontId="7" type="noConversion"/>
  </si>
  <si>
    <t>「邪秽之精」</t>
    <phoneticPr fontId="49" type="noConversion"/>
  </si>
  <si>
    <t>不讓任何敵人進入近戰範圍</t>
    <phoneticPr fontId="7" type="noConversion"/>
  </si>
  <si>
    <t>武僧</t>
    <phoneticPr fontId="49" type="noConversion"/>
  </si>
  <si>
    <t>「尹娜的真言」</t>
    <phoneticPr fontId="49" type="noConversion"/>
  </si>
  <si>
    <t>當你放出元靈時，在 10 碼內至少有 10 個敵人，共 5 次</t>
    <phoneticPr fontId="7" type="noConversion"/>
  </si>
  <si>
    <t>不要被凍結</t>
    <phoneticPr fontId="7" type="noConversion"/>
  </si>
  <si>
    <t>用你的銅人在 6 秒內擊中 20 個不同的敵人，共 5 次</t>
    <phoneticPr fontId="7" type="noConversion"/>
  </si>
  <si>
    <t>在地城期間維持勁風煞的加成效果存在</t>
    <phoneticPr fontId="7" type="noConversion"/>
  </si>
  <si>
    <t>「猴王戰服」</t>
    <phoneticPr fontId="49" type="noConversion"/>
  </si>
  <si>
    <t>使用爆裂掌一次擊殺 21 個不同的敵人，共 3 次</t>
    <phoneticPr fontId="7" type="noConversion"/>
  </si>
  <si>
    <t>在地城內期間完全不受任何火焰傷害</t>
    <phoneticPr fontId="7" type="noConversion"/>
  </si>
  <si>
    <t>「乌莲娜的谋略」</t>
    <phoneticPr fontId="49" type="noConversion"/>
  </si>
  <si>
    <t>6尹娜套，任意流派。
在怪物密集的区域使用[飓风破-聚力爆破]拉怪，然后释放[幻身诀]即可。
需要控制伤害（比如去掉[粗糙至极靴]），以免怪物直接被[飓风破]击杀。</t>
    <phoneticPr fontId="7" type="noConversion"/>
  </si>
  <si>
    <t>在 2 分鐘內抵達地城最後的寶箱</t>
    <phoneticPr fontId="7" type="noConversion"/>
  </si>
  <si>
    <t>不要被任何魅魔的遠程攻擊打中</t>
    <phoneticPr fontId="7" type="noConversion"/>
  </si>
  <si>
    <t>「千风飓」</t>
    <phoneticPr fontId="49" type="noConversion"/>
  </si>
  <si>
    <t>6猴王套，远程火钟流。
装备「复仇之风」、「京四郎之魂」，先在怪物密集的区域用[劲风煞]杀怪，完成主要目标后用[金钟破]完成清图。
该地下城左下角为一个较长的死胡同，去之前先把前半段的怪物清理干净。</t>
    <phoneticPr fontId="7" type="noConversion"/>
  </si>
  <si>
    <t>魔法师</t>
    <phoneticPr fontId="49" type="noConversion"/>
  </si>
  <si>
    <t>在 4 層塔拉夏加成效果下擊殺 90 個敵人</t>
    <phoneticPr fontId="7" type="noConversion"/>
  </si>
  <si>
    <t>「塔·拉夏的法理」</t>
    <phoneticPr fontId="49" type="noConversion"/>
  </si>
  <si>
    <t>施放一次時間緩滯，讓 30 個敵人受到影響，共 3 次</t>
    <phoneticPr fontId="7" type="noConversion"/>
  </si>
  <si>
    <t>反彈 200 次遠程攻擊</t>
    <phoneticPr fontId="7" type="noConversion"/>
  </si>
  <si>
    <t>「德尔西尼的杰作」</t>
    <phoneticPr fontId="49" type="noConversion"/>
  </si>
  <si>
    <t>6德尔西尼套，任意流派。
装备「朗斯洛的愚行」，在怪物密集的区域使用[能量气旋]聚怪，然后释放[时间延缓]。
遇到小蜜蜂群，直接释放[时间延缓]罩住，然后使用[原力之波-强力震波]反弹小小蜜蜂，重复数次便可达成目标。</t>
    <phoneticPr fontId="7" type="noConversion"/>
  </si>
  <si>
    <t>「不死鸟的华服」</t>
    <phoneticPr fontId="49" type="noConversion"/>
  </si>
  <si>
    <t>在御法者型態下獲得 100 層加成效果，共 3 次</t>
    <phoneticPr fontId="7" type="noConversion"/>
  </si>
  <si>
    <t>在御法者形態下擊殺 300 個敵人</t>
    <phoneticPr fontId="7" type="noConversion"/>
  </si>
  <si>
    <t>「维尔的神装」</t>
    <phoneticPr fontId="49" type="noConversion"/>
  </si>
  <si>
    <t>6维尔套+2迦陀朵套，黑人流。
萃取「以太行者」提高跑图能力；萃取「法尊」延长[御法者]的叠加效果持续时间；萃取「黄道黑曜石之戒」刷新[御法者]技能CD。</t>
    <phoneticPr fontId="7" type="noConversion"/>
  </si>
  <si>
    <t>巫医</t>
    <phoneticPr fontId="49" type="noConversion"/>
  </si>
  <si>
    <t>在亡者之握的主要區域中抓住 125 個不同的敵人</t>
    <phoneticPr fontId="7" type="noConversion"/>
  </si>
  <si>
    <t>「祖尼玛萨之魂」</t>
    <phoneticPr fontId="49" type="noConversion"/>
  </si>
  <si>
    <t xml:space="preserve">使用死亡之壁一次殺死 20 個敵人，共 4 次 </t>
    <phoneticPr fontId="7" type="noConversion"/>
  </si>
  <si>
    <t>完全不受任何毒素傷害</t>
    <phoneticPr fontId="7" type="noConversion"/>
  </si>
  <si>
    <t>「魔牙战装」</t>
    <phoneticPr fontId="49" type="noConversion"/>
  </si>
  <si>
    <t>6魔牙套+2马纳祖玛套，任意流派。
萃取「苦艾之杖」，配合被动技能[死亡蔓延]拉怪；将20+怪物拉至一处后，使用[亡者之墙-谕魂]（冰符文）完成对应目标。
使用[僵尸死士]或[酸蚀之云]清怪；使用[妖术-愤怒小鸡]跑图。
萃取「玛拉的万花筒」避免毒素伤害。</t>
    <phoneticPr fontId="7" type="noConversion"/>
  </si>
  <si>
    <t>6乌莲娜套，七相拳流。
萃取「永恒之悟」、「狂石」，使用[七相拳-无间拳法]（减CD符文）引发[爆裂掌]杀敌。在怪物密集的区域使用[飓风破-聚力爆破]（加范围符文）拉怪，必要的时候可以拖着怪物走。
由于需要频繁释放技能，故建议使用被动技能恢复内力。
可装备「虚幻长靴」方便穿怪，萃取「阿兹卡兰之星」避免火伤。</t>
    <phoneticPr fontId="7" type="noConversion"/>
  </si>
  <si>
    <t>6千风飓套，火瞬影上帝僧。
以[疾风击-光辉如炬]（火符文）作为输出及跑图技能。
装备「寅剑」、「复仇者护腕」，点击圣坛招出精英怪，击杀后触发「寅剑」特效，极大增强了跑图和输出能力；与此同时还增加了地城中的怪物总数，这样即使偶尔漏怪也可完成目标，一举多得。
装备上优先选择减耗、减CD词缀；使用「燃火外套」、「黄道黑曜石之戒」，可以进一步提高续航能力。</t>
    <phoneticPr fontId="7" type="noConversion"/>
  </si>
  <si>
    <t>用蟾蜍舔噬 30 個敵人</t>
    <phoneticPr fontId="7" type="noConversion"/>
  </si>
  <si>
    <t>在精英怪受到食人魚和育雛蛛后效果影響時擊殺他們</t>
    <phoneticPr fontId="7" type="noConversion"/>
  </si>
  <si>
    <t>「亚拉基尔的灵魂」</t>
    <phoneticPr fontId="49" type="noConversion"/>
  </si>
  <si>
    <t>6亚拉基尔套，任意流派。
见到怪物便使用[妖术]召唤蟾蜍，尽量让蟾蜍多添几个怪。
见到精英便使用[食人鱼]及[尸蛛]，然后使用高伤害技能（如[火蝠]）快速完成击杀。</t>
    <phoneticPr fontId="7" type="noConversion"/>
  </si>
  <si>
    <t>「玉魂师的战甲」</t>
    <phoneticPr fontId="49" type="noConversion"/>
  </si>
  <si>
    <t>同時使用召喚蟲群和蝕魂感染 100 名敵人，並殺死他們</t>
    <phoneticPr fontId="7" type="noConversion"/>
  </si>
  <si>
    <t>在阿卡拉特勇士的效果下擊殺 150 個敵人</t>
    <phoneticPr fontId="7" type="noConversion"/>
  </si>
  <si>
    <t>以聖光掃擊一次擊中 12 個不同的敵人，共 7 次</t>
    <phoneticPr fontId="7" type="noConversion"/>
  </si>
  <si>
    <t>被血族或月族敵人所投擲的長矛命中 75 次</t>
    <phoneticPr fontId="7" type="noConversion"/>
  </si>
  <si>
    <t>在 90 秒內保持復仇箭雨效果不中斷</t>
    <phoneticPr fontId="7" type="noConversion"/>
  </si>
  <si>
    <t>6阿克汗套，天谴流。
激活[阿卡拉特勇士]，在怪物密集的区域使用[天谴-聚能强吸]聚怪并造成伤害。
萃取[虚幻长靴]，方便在怪物群中穿梭。</t>
    <phoneticPr fontId="7" type="noConversion"/>
  </si>
  <si>
    <t xml:space="preserve">不要把憎恨消耗殆盡  </t>
    <phoneticPr fontId="7" type="noConversion"/>
  </si>
  <si>
    <t>6娜塔亚套，箭雨流。
使用[闪避射击]、[扫射]或其他技能，刷新[复仇之雨]的CD。注意控制憎恨。</t>
    <phoneticPr fontId="7" type="noConversion"/>
  </si>
  <si>
    <t>不讓戒律下降到 50% 以下</t>
    <phoneticPr fontId="7" type="noConversion"/>
  </si>
  <si>
    <t xml:space="preserve">以強化過傷害的刺穿連續擊中 20 名不同的敵人，共 5 次 </t>
    <phoneticPr fontId="7" type="noConversion"/>
  </si>
  <si>
    <t>使用暗影之力緩速 45 名不同的敵人</t>
    <phoneticPr fontId="7" type="noConversion"/>
  </si>
  <si>
    <t>不被鑽岩蟲咬中</t>
    <phoneticPr fontId="7" type="noConversion"/>
  </si>
  <si>
    <t>6塔拉夏套，火陨流。
装备「以太行者」跑图，注意躲避钻岩虫。
搭配4系伤害技能，及时刷新塔套特效即可。</t>
    <phoneticPr fontId="7" type="noConversion"/>
  </si>
  <si>
    <t>讓復活你的隕石擊中 50 個不同的敵人</t>
    <phoneticPr fontId="7" type="noConversion"/>
  </si>
  <si>
    <t>一次收割 15 個不同的敵人，共 10 次</t>
    <phoneticPr fontId="7" type="noConversion"/>
  </si>
  <si>
    <t>收割魔</t>
    <phoneticPr fontId="20" type="noConversion"/>
  </si>
  <si>
    <t>6掠夺套，箭塔流。
记得及时补充[箭塔]即可。地下城内有数只钻岩虫，注意躲避。</t>
    <phoneticPr fontId="7" type="noConversion"/>
  </si>
  <si>
    <t>6暗影套，单手武器流。
使用[暗影飞刀]的时候，不要射歪就行。怪物中有会瞬移的移形兽，注意贴近后再攻击。不要使用飞刀连续击中同一只怪物，特别是举盾的骷髅兵，非常容易误伤。
靠近怪物后使用[暗影之力]，可以触发减速。</t>
    <phoneticPr fontId="7" type="noConversion"/>
  </si>
  <si>
    <t>6祖尼玛萨套，宠物流。
使用[亡者之握]，提高宠物伤害出。由于怪物数量较少，所以尽量用[亡者之握]抓住所有怪物。
装备或萃取「威尔肯之触」，移除[亡者之握]技能CD。</t>
    <phoneticPr fontId="7" type="noConversion"/>
  </si>
  <si>
    <t>★★★★★</t>
    <phoneticPr fontId="7" type="noConversion"/>
  </si>
  <si>
    <t>BountyData</t>
    <phoneticPr fontId="7" type="noConversion"/>
  </si>
  <si>
    <t>2.4悬赏？</t>
    <phoneticPr fontId="7" type="noConversion"/>
  </si>
  <si>
    <t>悬赏任务类型</t>
    <phoneticPr fontId="7" type="noConversion"/>
  </si>
  <si>
    <t>悬赏任务繁中译名</t>
    <phoneticPr fontId="7" type="noConversion"/>
  </si>
  <si>
    <t>悬赏任务简中译名</t>
    <phoneticPr fontId="7" type="noConversion"/>
  </si>
  <si>
    <t>备注</t>
    <phoneticPr fontId="7" type="noConversion"/>
  </si>
  <si>
    <t>章节</t>
    <phoneticPr fontId="7" type="noConversion"/>
  </si>
  <si>
    <t>任務所處地圖</t>
    <phoneticPr fontId="7" type="noConversion"/>
  </si>
  <si>
    <t>Map</t>
    <phoneticPr fontId="7" type="noConversion"/>
  </si>
  <si>
    <t>是</t>
    <phoneticPr fontId="7" type="noConversion"/>
  </si>
  <si>
    <t>Northern Highlands</t>
    <phoneticPr fontId="7" type="noConversion"/>
  </si>
  <si>
    <t>Northern Highlands</t>
    <phoneticPr fontId="7" type="noConversion"/>
  </si>
  <si>
    <t>是</t>
    <phoneticPr fontId="7" type="noConversion"/>
  </si>
  <si>
    <t>消灭紫怪</t>
    <phoneticPr fontId="7" type="noConversion"/>
  </si>
  <si>
    <t>悬赏任务：消灭沃伦</t>
  </si>
  <si>
    <t>Bounty: Kill Walloon</t>
  </si>
  <si>
    <t>李奥瑞克的庄园</t>
  </si>
  <si>
    <t>Leoric's Manor</t>
  </si>
  <si>
    <t>懸賞：殺死斯巴薩瑞</t>
  </si>
  <si>
    <t>悬赏任务：消灭斯帕萨里</t>
  </si>
  <si>
    <t>懸賞：殺死摩根勒德</t>
  </si>
  <si>
    <t>悬赏任务：消灭摩根·勒戴</t>
  </si>
  <si>
    <t>Bounty: Kill Morgan LeDay</t>
  </si>
  <si>
    <t>懸賞：殺死喬維安</t>
  </si>
  <si>
    <t>悬赏任务：消灭朱维安</t>
  </si>
  <si>
    <t>懸賞：殺死約翰尼斯</t>
  </si>
  <si>
    <t>悬赏任务：消灭乔汉斯</t>
    <phoneticPr fontId="7" type="noConversion"/>
  </si>
  <si>
    <t>懸賞：殺死漢恩斯</t>
  </si>
  <si>
    <t>悬赏任务：消灭汉内斯</t>
  </si>
  <si>
    <t>懸賞：殺死博雅斯克</t>
  </si>
  <si>
    <t>悬赏任务：消灭波亚斯克</t>
  </si>
  <si>
    <t>懸賞：殺死霸楚斯</t>
  </si>
  <si>
    <t>悬赏任务：消灭巴克斯图斯</t>
  </si>
  <si>
    <t>懸賞：殺死梅里恩•顱棘</t>
    <phoneticPr fontId="7" type="noConversion"/>
  </si>
  <si>
    <t>懸賞：殺死奇里安•達魔特</t>
    <phoneticPr fontId="7" type="noConversion"/>
  </si>
  <si>
    <t>Cathedral Level 4</t>
    <phoneticPr fontId="7" type="noConversion"/>
  </si>
  <si>
    <t>Cathedral Level 4</t>
    <phoneticPr fontId="7" type="noConversion"/>
  </si>
  <si>
    <t>是</t>
    <phoneticPr fontId="7" type="noConversion"/>
  </si>
  <si>
    <t>Cathedral Level 1</t>
    <phoneticPr fontId="7" type="noConversion"/>
  </si>
  <si>
    <t>Cathedral Level 1</t>
    <phoneticPr fontId="7" type="noConversion"/>
  </si>
  <si>
    <t>Cemetery of the Forsaken</t>
    <phoneticPr fontId="7" type="noConversion"/>
  </si>
  <si>
    <t>Cemetery of the Forsaken</t>
    <phoneticPr fontId="7" type="noConversion"/>
  </si>
  <si>
    <t>The Royal Crypts</t>
    <phoneticPr fontId="7" type="noConversion"/>
  </si>
  <si>
    <t>The Old Ruins</t>
    <phoneticPr fontId="7" type="noConversion"/>
  </si>
  <si>
    <t>懸賞：掃蕩沉淪魔窩巢</t>
    <phoneticPr fontId="7" type="noConversion"/>
  </si>
  <si>
    <t>The Weeping Hollow</t>
    <phoneticPr fontId="7" type="noConversion"/>
  </si>
  <si>
    <t>懸賞：聖堂騎士的審判</t>
    <phoneticPr fontId="7" type="noConversion"/>
  </si>
  <si>
    <t>The Weeping Hollow</t>
    <phoneticPr fontId="7" type="noConversion"/>
  </si>
  <si>
    <t>懸賞：殺死提芬尼</t>
  </si>
  <si>
    <t>悬赏任务：消灭特费尼</t>
  </si>
  <si>
    <t>懸賞：掃蕩卡茲拉窩巢</t>
    <phoneticPr fontId="7" type="noConversion"/>
  </si>
  <si>
    <t>Fields of Misery</t>
    <phoneticPr fontId="7" type="noConversion"/>
  </si>
  <si>
    <t>懸賞：掃蕩食腐獸窩巢</t>
    <phoneticPr fontId="7" type="noConversion"/>
  </si>
  <si>
    <t>Fields of Misery</t>
    <phoneticPr fontId="7" type="noConversion"/>
  </si>
  <si>
    <t>懸賞：殺死岩顎</t>
  </si>
  <si>
    <t>Bounty: Kill Rockmaw</t>
    <phoneticPr fontId="7" type="noConversion"/>
  </si>
  <si>
    <t>懸賞：沃薩姆倖存者</t>
    <phoneticPr fontId="7" type="noConversion"/>
  </si>
  <si>
    <t>懸賞：需要幫助的陌生人</t>
    <phoneticPr fontId="7" type="noConversion"/>
  </si>
  <si>
    <t>Halls of Agony Level 2</t>
    <phoneticPr fontId="7" type="noConversion"/>
  </si>
  <si>
    <t>Halls of Agony Level 3</t>
    <phoneticPr fontId="7" type="noConversion"/>
  </si>
  <si>
    <t>X1_Bounty_A1_LeoricsDungeon_Kill_Garrach.qst</t>
    <phoneticPr fontId="7" type="noConversion"/>
  </si>
  <si>
    <t>Bounty: Kill Garrach the Afflicted</t>
    <phoneticPr fontId="7" type="noConversion"/>
  </si>
  <si>
    <t>Halls of Agony Level 1</t>
    <phoneticPr fontId="7" type="noConversion"/>
  </si>
  <si>
    <t>懸賞：掃蕩先祖墓穴</t>
    <phoneticPr fontId="7" type="noConversion"/>
  </si>
  <si>
    <t>The Festering Woods</t>
    <phoneticPr fontId="7" type="noConversion"/>
  </si>
  <si>
    <t>懸賞：掃蕩勇士之陵</t>
    <phoneticPr fontId="7" type="noConversion"/>
  </si>
  <si>
    <t>懸賞：掃蕩月族洞穴</t>
    <phoneticPr fontId="7" type="noConversion"/>
  </si>
  <si>
    <t>Southern Highlands</t>
    <phoneticPr fontId="7" type="noConversion"/>
  </si>
  <si>
    <t>懸賞：重生的三聖會</t>
    <phoneticPr fontId="7" type="noConversion"/>
  </si>
  <si>
    <t>懸賞：崩壞的塔樓</t>
  </si>
  <si>
    <t>Southern Highlands</t>
    <phoneticPr fontId="7" type="noConversion"/>
  </si>
  <si>
    <t>Bounty: Kill Cadhul the Deathcaller</t>
    <phoneticPr fontId="7" type="noConversion"/>
  </si>
  <si>
    <t>懸賞：蛛后的点心</t>
    <phoneticPr fontId="7" type="noConversion"/>
  </si>
  <si>
    <t>A1</t>
    <phoneticPr fontId="7" type="noConversion"/>
  </si>
  <si>
    <t>Caverns of Araneae</t>
    <phoneticPr fontId="7" type="noConversion"/>
  </si>
  <si>
    <t>A1</t>
    <phoneticPr fontId="7" type="noConversion"/>
  </si>
  <si>
    <t>Caverns of Araneae</t>
    <phoneticPr fontId="7" type="noConversion"/>
  </si>
  <si>
    <t>Bounty: Kill Queen Araneae</t>
    <phoneticPr fontId="7" type="noConversion"/>
  </si>
  <si>
    <t>Road to Alcarnus</t>
    <phoneticPr fontId="7" type="noConversion"/>
  </si>
  <si>
    <t>懸賞：掃蕩積水的洞穴</t>
    <phoneticPr fontId="7" type="noConversion"/>
  </si>
  <si>
    <t>Dahlgur Oasis</t>
    <phoneticPr fontId="7" type="noConversion"/>
  </si>
  <si>
    <t>懸賞：掃蕩神秘的洞穴</t>
    <phoneticPr fontId="7" type="noConversion"/>
  </si>
  <si>
    <t>懸賞：掃蕩古老的洞穴</t>
    <phoneticPr fontId="7" type="noConversion"/>
  </si>
  <si>
    <t>懸賞：血與鐵</t>
    <phoneticPr fontId="7" type="noConversion"/>
  </si>
  <si>
    <t xml:space="preserve">懸賞：沙爾達的寶藏 </t>
    <phoneticPr fontId="7" type="noConversion"/>
  </si>
  <si>
    <t>Dahlgur Oasis</t>
    <phoneticPr fontId="7" type="noConversion"/>
  </si>
  <si>
    <t>A2</t>
    <phoneticPr fontId="7" type="noConversion"/>
  </si>
  <si>
    <t>City of Caldeum</t>
    <phoneticPr fontId="7" type="noConversion"/>
  </si>
  <si>
    <t>懸賞：掃蕩廢墟</t>
    <phoneticPr fontId="7" type="noConversion"/>
  </si>
  <si>
    <t>Stinging Winds</t>
    <phoneticPr fontId="7" type="noConversion"/>
  </si>
  <si>
    <t>懸賞：邪教之俘</t>
    <phoneticPr fontId="7" type="noConversion"/>
  </si>
  <si>
    <t>Stinging Winds</t>
    <phoneticPr fontId="7" type="noConversion"/>
  </si>
  <si>
    <t>懸賞：掃蕩熱風洞穴</t>
    <phoneticPr fontId="7" type="noConversion"/>
  </si>
  <si>
    <t>Howling Plateau</t>
    <phoneticPr fontId="7" type="noConversion"/>
  </si>
  <si>
    <t>懸賞：掃蕩鑽岩怪洞穴</t>
    <phoneticPr fontId="7" type="noConversion"/>
  </si>
  <si>
    <t>Desolate Sands</t>
    <phoneticPr fontId="7" type="noConversion"/>
  </si>
  <si>
    <t>懸賞：掃蕩兇邪的洞穴</t>
    <phoneticPr fontId="7" type="noConversion"/>
  </si>
  <si>
    <t>懸賞：上古裝置</t>
    <phoneticPr fontId="7" type="noConversion"/>
  </si>
  <si>
    <t>懸賞：掃蕩東側水道</t>
    <phoneticPr fontId="7" type="noConversion"/>
  </si>
  <si>
    <t>Ancient Waterway</t>
    <phoneticPr fontId="7" type="noConversion"/>
  </si>
  <si>
    <t>懸賞：掃蕩西側水道</t>
    <phoneticPr fontId="7" type="noConversion"/>
  </si>
  <si>
    <t>懸賞：腐臭水源</t>
    <phoneticPr fontId="7" type="noConversion"/>
  </si>
  <si>
    <t>[国]悬赏：消灭致命蛰刺</t>
    <phoneticPr fontId="7" type="noConversion"/>
  </si>
  <si>
    <t>Archives of Zoltun Kulle</t>
    <phoneticPr fontId="7" type="noConversion"/>
  </si>
  <si>
    <t>懸賞：投石器行動</t>
    <phoneticPr fontId="7" type="noConversion"/>
  </si>
  <si>
    <t>悬赏任务：投石车指挥</t>
    <phoneticPr fontId="7" type="noConversion"/>
  </si>
  <si>
    <t>Stonefort</t>
    <phoneticPr fontId="7" type="noConversion"/>
  </si>
  <si>
    <t>懸賞：掃蕩落冰洞穴</t>
    <phoneticPr fontId="7" type="noConversion"/>
  </si>
  <si>
    <t>The Bridge of Korsikk</t>
    <phoneticPr fontId="7" type="noConversion"/>
  </si>
  <si>
    <t>懸賞：掃蕩寒霜洞窟</t>
    <phoneticPr fontId="7" type="noConversion"/>
  </si>
  <si>
    <t>懸賞：殺死奇塔拉</t>
  </si>
  <si>
    <t>懸賞：掃蕩橋底地窖</t>
    <phoneticPr fontId="7" type="noConversion"/>
  </si>
  <si>
    <t>A3</t>
    <phoneticPr fontId="7" type="noConversion"/>
  </si>
  <si>
    <t>Rakkis Crossing</t>
    <phoneticPr fontId="7" type="noConversion"/>
  </si>
  <si>
    <t>懸賞：拯救巡邏兵</t>
    <phoneticPr fontId="7" type="noConversion"/>
  </si>
  <si>
    <t>[国]悬赏：消灭恐爪飞鬼</t>
    <phoneticPr fontId="7" type="noConversion"/>
  </si>
  <si>
    <t>[国]悬赏：消灭杉达哈</t>
    <phoneticPr fontId="7" type="noConversion"/>
  </si>
  <si>
    <t>Rakkis Crossing</t>
    <phoneticPr fontId="7" type="noConversion"/>
  </si>
  <si>
    <t>X1_Bounty_A3_Battlefields_Kill_Siegebreaker.qst</t>
    <phoneticPr fontId="7" type="noConversion"/>
  </si>
  <si>
    <t>Tower of the Damned Level 1</t>
    <phoneticPr fontId="7" type="noConversion"/>
  </si>
  <si>
    <t>The Core of Arreat</t>
    <phoneticPr fontId="7" type="noConversion"/>
  </si>
  <si>
    <t>懸賞：惡魔之門</t>
    <phoneticPr fontId="7" type="noConversion"/>
  </si>
  <si>
    <t>Arreat Crater Level 2</t>
    <phoneticPr fontId="7" type="noConversion"/>
  </si>
  <si>
    <t>Bounty: Kill Snitchley</t>
    <phoneticPr fontId="7" type="noConversion"/>
  </si>
  <si>
    <t>Arreat Crater Level 1</t>
    <phoneticPr fontId="7" type="noConversion"/>
  </si>
  <si>
    <t>懸賞：詛咒深淵</t>
    <phoneticPr fontId="7" type="noConversion"/>
  </si>
  <si>
    <t>The Keep Depths Level 2</t>
    <phoneticPr fontId="7" type="noConversion"/>
  </si>
  <si>
    <t>The Keep Depths Level 3</t>
    <phoneticPr fontId="7" type="noConversion"/>
  </si>
  <si>
    <t>The Keep Depths Level 1</t>
    <phoneticPr fontId="7" type="noConversion"/>
  </si>
  <si>
    <t>[国]悬赏：消灭脊背烈兽</t>
    <phoneticPr fontId="7" type="noConversion"/>
  </si>
  <si>
    <t>懸賞：掃蕩防禦碉堡</t>
    <phoneticPr fontId="7" type="noConversion"/>
  </si>
  <si>
    <t>The Battlefields</t>
    <phoneticPr fontId="7" type="noConversion"/>
  </si>
  <si>
    <t>懸賞：掃蕩克萊德哨站</t>
    <phoneticPr fontId="7" type="noConversion"/>
  </si>
  <si>
    <t>懸賞：掃蕩前线兵营</t>
    <phoneticPr fontId="7" type="noConversion"/>
  </si>
  <si>
    <t>懸賞：掃蕩兵營</t>
    <phoneticPr fontId="7" type="noConversion"/>
  </si>
  <si>
    <t>懸賞：掃蕩鑄造廠</t>
    <phoneticPr fontId="7" type="noConversion"/>
  </si>
  <si>
    <t>懸賞：掃蕩戰場儲藏所第二層</t>
    <phoneticPr fontId="7" type="noConversion"/>
  </si>
  <si>
    <t>懸賞：防守醫療站</t>
  </si>
  <si>
    <t>Tower of the Cursed Level 1</t>
    <phoneticPr fontId="7" type="noConversion"/>
  </si>
  <si>
    <t>[国]悬赏：消灭畸变的海鲁格</t>
    <phoneticPr fontId="7" type="noConversion"/>
  </si>
  <si>
    <t>X1_Bounty_A3_Crater_Kill_Cydaea.qst</t>
    <phoneticPr fontId="7" type="noConversion"/>
  </si>
  <si>
    <t>Bounty: Kill Cydaea</t>
    <phoneticPr fontId="7" type="noConversion"/>
  </si>
  <si>
    <t>Ruins of Sescheron</t>
    <phoneticPr fontId="7" type="noConversion"/>
  </si>
  <si>
    <t>悬赏任务：祭塔之王</t>
  </si>
  <si>
    <t>懸賞：祭塔之王</t>
    <phoneticPr fontId="7" type="noConversion"/>
  </si>
  <si>
    <t>悬赏任务：最后的野蛮人</t>
  </si>
  <si>
    <t>Bounty: Last of the Barbarians</t>
  </si>
  <si>
    <t>悬赏任务：三大守护者</t>
  </si>
  <si>
    <t>Bounty: The Three Guardians</t>
  </si>
  <si>
    <t>悬赏任务：被诅咒的永恒森林</t>
  </si>
  <si>
    <t>Bounty: The Cursed Eternal Woods</t>
  </si>
  <si>
    <t>懸賞：受詛咒的永恆聖壇</t>
  </si>
  <si>
    <t>悬赏任务：被诅咒的永恒圣坛</t>
  </si>
  <si>
    <t>Bounty: The Cursed Eternal Shrine</t>
  </si>
  <si>
    <t>悬赏任务：诅咒城郭</t>
  </si>
  <si>
    <t>Bounty: The Cursed Bailey</t>
    <phoneticPr fontId="7" type="noConversion"/>
  </si>
  <si>
    <t>悬赏任务：消灭塔拉</t>
  </si>
  <si>
    <t>Bounty: Kill Tala</t>
    <phoneticPr fontId="7" type="noConversion"/>
  </si>
  <si>
    <t>懸賞：殺死塔菈</t>
    <phoneticPr fontId="7" type="noConversion"/>
  </si>
  <si>
    <t>懸賞：殺死寇瑞和薩魅</t>
  </si>
  <si>
    <t>悬赏任务：消灭柯雷伊和萨马伊</t>
  </si>
  <si>
    <t>Bounty: Kill Korae and Samae</t>
  </si>
  <si>
    <t>懸賞：殺死寇瑞</t>
    <phoneticPr fontId="7" type="noConversion"/>
  </si>
  <si>
    <t>悬赏任务：消灭加兰</t>
  </si>
  <si>
    <t>Bounty: Kill Garan</t>
    <phoneticPr fontId="7" type="noConversion"/>
  </si>
  <si>
    <t>懸賞：殺死迦倫</t>
    <phoneticPr fontId="7" type="noConversion"/>
  </si>
  <si>
    <t>悬赏任务：消灭阿莱图</t>
  </si>
  <si>
    <t>懸賞：殺死埃爾特</t>
    <phoneticPr fontId="7" type="noConversion"/>
  </si>
  <si>
    <t>悬赏任务：消灭卡希克</t>
  </si>
  <si>
    <t>Bounty: Kill Kashyyk</t>
  </si>
  <si>
    <t>懸賞：掃蕩地獄之門</t>
    <phoneticPr fontId="7" type="noConversion"/>
  </si>
  <si>
    <t>Hell Rift Level 1</t>
    <phoneticPr fontId="7" type="noConversion"/>
  </si>
  <si>
    <t>懸賞：殺死大鎚</t>
  </si>
  <si>
    <t>X1_Bounty_A4_HellRift_Kill_Hammersmash.qst</t>
    <phoneticPr fontId="7" type="noConversion"/>
  </si>
  <si>
    <t>懸賞：殺死錘擊</t>
  </si>
  <si>
    <t>Bounty: Kill Hammermash</t>
    <phoneticPr fontId="7" type="noConversion"/>
  </si>
  <si>
    <t>Gardens of Hope 2nd Tier</t>
    <phoneticPr fontId="7" type="noConversion"/>
  </si>
  <si>
    <t>懸賞：落難天使</t>
    <phoneticPr fontId="7" type="noConversion"/>
  </si>
  <si>
    <t>Gardens of Hope 3rd Tier</t>
    <phoneticPr fontId="7" type="noConversion"/>
  </si>
  <si>
    <t>懸賞：惡兆</t>
    <phoneticPr fontId="7" type="noConversion"/>
  </si>
  <si>
    <t>懸賞：注意腳下</t>
    <phoneticPr fontId="7" type="noConversion"/>
  </si>
  <si>
    <t>P2_Bounty_A4_GardensOfHope_Event_SigilA.qst</t>
    <phoneticPr fontId="7" type="noConversion"/>
  </si>
  <si>
    <t>懸賞：淨化獄蝠巢</t>
    <phoneticPr fontId="7" type="noConversion"/>
  </si>
  <si>
    <t>懸賞：詛咒佈道所</t>
    <phoneticPr fontId="7" type="noConversion"/>
  </si>
  <si>
    <t>Gardens of Hope 1st Tier</t>
    <phoneticPr fontId="7" type="noConversion"/>
  </si>
  <si>
    <t>[国]悬赏：消灭瓜图恩</t>
    <phoneticPr fontId="7" type="noConversion"/>
  </si>
  <si>
    <t>The Silver Spire Level 2</t>
    <phoneticPr fontId="7" type="noConversion"/>
  </si>
  <si>
    <t>懸賞：惡魔傳送門</t>
    <phoneticPr fontId="7" type="noConversion"/>
  </si>
  <si>
    <t>The Silver Spire Level 1</t>
    <phoneticPr fontId="7" type="noConversion"/>
  </si>
  <si>
    <t>[国]悬赏：消灭悲凄的姬辛德拉</t>
    <phoneticPr fontId="7" type="noConversion"/>
  </si>
  <si>
    <t>X1_Bounty_A4_Spire_Kill_Izual.qst</t>
    <phoneticPr fontId="7" type="noConversion"/>
  </si>
  <si>
    <t>懸賞：掃蕩被圍攻的哨塔第二層</t>
    <phoneticPr fontId="7" type="noConversion"/>
  </si>
  <si>
    <t>A4</t>
    <phoneticPr fontId="7" type="noConversion"/>
  </si>
  <si>
    <t>Besieged Tower Level 1</t>
    <phoneticPr fontId="7" type="noConversion"/>
  </si>
  <si>
    <t>被圍攻的哨塔第一層</t>
    <phoneticPr fontId="7" type="noConversion"/>
  </si>
  <si>
    <t>Pandemonium Fortress Level 2</t>
    <phoneticPr fontId="7" type="noConversion"/>
  </si>
  <si>
    <t>Pandemonium Fortress Level 1</t>
    <phoneticPr fontId="7" type="noConversion"/>
  </si>
  <si>
    <t>懸賞:拉斯瑪的獻禮</t>
    <phoneticPr fontId="7" type="noConversion"/>
  </si>
  <si>
    <t>Briarthorn Cemetery</t>
    <phoneticPr fontId="7" type="noConversion"/>
  </si>
  <si>
    <t>悬赏任务：黄金密室</t>
    <phoneticPr fontId="7" type="noConversion"/>
  </si>
  <si>
    <t>Ruins of Corvus</t>
    <phoneticPr fontId="7" type="noConversion"/>
  </si>
  <si>
    <t>X1_Bounty_A5_RuinsOfCorvus_Event_NephalemTreasure.qst</t>
    <phoneticPr fontId="7" type="noConversion"/>
  </si>
  <si>
    <t>懸賞：掃蕩兇險洞窟</t>
    <phoneticPr fontId="7" type="noConversion"/>
  </si>
  <si>
    <t>A5</t>
    <phoneticPr fontId="7" type="noConversion"/>
  </si>
  <si>
    <t>Paths of the Drowned</t>
    <phoneticPr fontId="7" type="noConversion"/>
  </si>
  <si>
    <t>Bounty: Kill Lu'ca</t>
    <phoneticPr fontId="7" type="noConversion"/>
  </si>
  <si>
    <t>Bounty: The Hatchery</t>
    <phoneticPr fontId="7" type="noConversion"/>
  </si>
  <si>
    <t>Passage to Corvus</t>
    <phoneticPr fontId="7" type="noConversion"/>
  </si>
  <si>
    <t>悬赏任务：藏宝室</t>
  </si>
  <si>
    <t>Bounty: Treasure Room</t>
    <phoneticPr fontId="7" type="noConversion"/>
  </si>
  <si>
    <t>懸賞：掃蕩瘟疫地道</t>
    <phoneticPr fontId="7" type="noConversion"/>
  </si>
  <si>
    <t>Westmarch Commons</t>
    <phoneticPr fontId="7" type="noConversion"/>
  </si>
  <si>
    <t>懸賞：烈焰風暴</t>
    <phoneticPr fontId="7" type="noConversion"/>
  </si>
  <si>
    <t>Bounty: The Harvest</t>
    <phoneticPr fontId="7" type="noConversion"/>
  </si>
  <si>
    <t>Bounty: Kill Getzlord</t>
    <phoneticPr fontId="7" type="noConversion"/>
  </si>
  <si>
    <t>懸賞：掃蕩骸骨地窖</t>
    <phoneticPr fontId="7" type="noConversion"/>
  </si>
  <si>
    <t>Bounty: Clear the Repository of Bones</t>
    <phoneticPr fontId="7" type="noConversion"/>
  </si>
  <si>
    <t>Westmarch Heights</t>
    <phoneticPr fontId="7" type="noConversion"/>
  </si>
  <si>
    <t>懸賞：掃蕩盜賊公會藏身處</t>
    <phoneticPr fontId="7" type="noConversion"/>
  </si>
  <si>
    <t>px_Bounty_A5_WestmarchFire_Camp_DeathOrbs.qst</t>
    <phoneticPr fontId="7" type="noConversion"/>
  </si>
  <si>
    <t>懸賞：死亡之擁</t>
    <phoneticPr fontId="7" type="noConversion"/>
  </si>
  <si>
    <t>Bounty: Death's Embrace</t>
    <phoneticPr fontId="7" type="noConversion"/>
  </si>
  <si>
    <t>懸賞：疫鼠為患</t>
    <phoneticPr fontId="7" type="noConversion"/>
  </si>
  <si>
    <r>
      <t>懸賞：殺死布倫特</t>
    </r>
    <r>
      <rPr>
        <sz val="10"/>
        <color theme="7" tint="-0.249977111117893"/>
        <rFont val="Malgun Gothic Semilight"/>
        <family val="2"/>
        <charset val="134"/>
      </rPr>
      <t>‧</t>
    </r>
    <r>
      <rPr>
        <sz val="10"/>
        <color theme="7" tint="-0.249977111117893"/>
        <rFont val="微软雅黑"/>
        <family val="2"/>
        <charset val="134"/>
      </rPr>
      <t>布魯因頓</t>
    </r>
  </si>
  <si>
    <r>
      <t>懸賞：殺死丹尼斯</t>
    </r>
    <r>
      <rPr>
        <sz val="10"/>
        <color theme="7" tint="-0.249977111117893"/>
        <rFont val="Malgun Gothic Semilight"/>
        <family val="2"/>
        <charset val="134"/>
      </rPr>
      <t>‧</t>
    </r>
    <r>
      <rPr>
        <sz val="10"/>
        <color theme="7" tint="-0.249977111117893"/>
        <rFont val="微软雅黑"/>
        <family val="2"/>
        <charset val="134"/>
      </rPr>
      <t>傑尼斯特</t>
    </r>
  </si>
  <si>
    <r>
      <t>懸賞：殺死梅瑞爾</t>
    </r>
    <r>
      <rPr>
        <sz val="10"/>
        <color theme="7" tint="-0.249977111117893"/>
        <rFont val="Malgun Gothic Semilight"/>
        <family val="2"/>
        <charset val="134"/>
      </rPr>
      <t>‧</t>
    </r>
    <r>
      <rPr>
        <sz val="10"/>
        <color theme="7" tint="-0.249977111117893"/>
        <rFont val="微软雅黑"/>
        <family val="2"/>
        <charset val="134"/>
      </rPr>
      <t>瑞戈頓</t>
    </r>
  </si>
  <si>
    <t>X1_Bounty_A5_WestmarchFire_Kill_Urzael.qst</t>
    <phoneticPr fontId="7" type="noConversion"/>
  </si>
  <si>
    <t>懸賞：惡魔藏寶</t>
    <phoneticPr fontId="7" type="noConversion"/>
  </si>
  <si>
    <t>Battlefields of Eternity</t>
    <phoneticPr fontId="7" type="noConversion"/>
  </si>
  <si>
    <t>懸賞：失落的軍團</t>
    <phoneticPr fontId="7" type="noConversion"/>
  </si>
  <si>
    <t>懸賞：岩巢</t>
    <phoneticPr fontId="7" type="noConversion"/>
  </si>
  <si>
    <t>懸賞：詛咒水晶</t>
    <phoneticPr fontId="7" type="noConversion"/>
  </si>
  <si>
    <t>Bounty: Kill Borgoth</t>
    <phoneticPr fontId="7" type="noConversion"/>
  </si>
  <si>
    <t>Bounty: Kill Bloone</t>
    <phoneticPr fontId="7" type="noConversion"/>
  </si>
  <si>
    <t>Bounty: Kill Grotescor</t>
    <phoneticPr fontId="7" type="noConversion"/>
  </si>
  <si>
    <t>Bounty: Kill Haziael</t>
    <phoneticPr fontId="7" type="noConversion"/>
  </si>
  <si>
    <t>Bounty: Kill Sartor</t>
    <phoneticPr fontId="7" type="noConversion"/>
  </si>
  <si>
    <t>Bounty: Kill Severag</t>
    <phoneticPr fontId="7" type="noConversion"/>
  </si>
  <si>
    <t>悬赏任务：打断森林祷告</t>
  </si>
  <si>
    <t>Bounty: The Forest Prayer Disturbed</t>
  </si>
  <si>
    <t>灰荒島</t>
  </si>
  <si>
    <t>灰洞岛</t>
  </si>
  <si>
    <t>Greyhollow</t>
  </si>
  <si>
    <t>悬赏任务：鬼魂牢笼</t>
  </si>
  <si>
    <t>Bounty: The Ghost Prison</t>
  </si>
  <si>
    <t>悬赏任务：诅咒池塘</t>
  </si>
  <si>
    <t>Bounty: The Cursed Pond</t>
  </si>
  <si>
    <t>悬赏任务：束缚邪灵</t>
  </si>
  <si>
    <t>Bounty: Binding Evil</t>
  </si>
  <si>
    <t>悬赏任务：诅咒林地</t>
  </si>
  <si>
    <t>Bounty: The Cursed Wood</t>
  </si>
  <si>
    <t>悬赏任务：消灭赫蒙顿</t>
  </si>
  <si>
    <t>Bounty: Kill Hed Monh Ton</t>
  </si>
  <si>
    <t>悬赏任务：消灭法祖拉</t>
  </si>
  <si>
    <t>Bounty: Kill Fharzula</t>
  </si>
  <si>
    <t>悬赏任务：消灭肥汁</t>
  </si>
  <si>
    <t>Bounty: Kill The Succulent</t>
  </si>
  <si>
    <t>悬赏任务：黑暗国王的遗产</t>
  </si>
  <si>
    <t>Bounty: The Black King's Legacy</t>
  </si>
  <si>
    <t>A345</t>
    <phoneticPr fontId="7" type="noConversion"/>
  </si>
  <si>
    <t>多個</t>
    <phoneticPr fontId="7" type="noConversion"/>
  </si>
  <si>
    <t>多个</t>
    <phoneticPr fontId="7" type="noConversion"/>
  </si>
  <si>
    <t>Various</t>
    <phoneticPr fontId="7" type="noConversion"/>
  </si>
  <si>
    <t>悬赏任务：被缚的萨满</t>
  </si>
  <si>
    <t>Bounty: The Bound Shaman</t>
  </si>
  <si>
    <t>悬赏任务：诅咒圣坛</t>
  </si>
  <si>
    <t>Bounty: The Cursed Shrines</t>
  </si>
  <si>
    <t>悬赏任务：肆虐的掘地魔</t>
  </si>
  <si>
    <t>Bounty: A Plague of Burrowers</t>
  </si>
  <si>
    <t>2.4尚未启用</t>
    <phoneticPr fontId="7" type="noConversion"/>
  </si>
  <si>
    <t>Bounty: Kill the Old Man</t>
    <phoneticPr fontId="7" type="noConversion"/>
  </si>
  <si>
    <t>应该是外服的老树公吧</t>
    <phoneticPr fontId="7" type="noConversion"/>
  </si>
  <si>
    <t>悬赏任务：重铸声誉</t>
    <phoneticPr fontId="7" type="noConversion"/>
  </si>
  <si>
    <t>懸賞：恢復名聲</t>
    <phoneticPr fontId="7" type="noConversion"/>
  </si>
  <si>
    <t>px_Bounty_A1_FesteringWoods_Camp_NephalemRelics.qst</t>
    <phoneticPr fontId="7" type="noConversion"/>
  </si>
  <si>
    <t>☆数据暂缺☆</t>
    <phoneticPr fontId="7" type="noConversion"/>
  </si>
  <si>
    <t>悬赏任务：失落的圣火</t>
    <phoneticPr fontId="7" type="noConversion"/>
  </si>
  <si>
    <t>Bounty: The Lost Beacons</t>
    <phoneticPr fontId="7" type="noConversion"/>
  </si>
  <si>
    <t>亚服暂无译名</t>
    <phoneticPr fontId="7" type="noConversion"/>
  </si>
  <si>
    <t>Bounty: Kill Chupa Khazra</t>
    <phoneticPr fontId="7" type="noConversion"/>
  </si>
  <si>
    <t>Bounty: Kill Skehlinrath</t>
    <phoneticPr fontId="7" type="noConversion"/>
  </si>
  <si>
    <t>X1_Bounty_A2_Oasis_Kill_Sokahr.qst</t>
    <phoneticPr fontId="7" type="noConversion"/>
  </si>
  <si>
    <t>Bounty: Kill Sokahr the Keywarden</t>
    <phoneticPr fontId="7" type="noConversion"/>
  </si>
  <si>
    <t>Bounty: Kill Nekarat the Keywarden</t>
    <phoneticPr fontId="7" type="noConversion"/>
  </si>
  <si>
    <t>无数据</t>
    <phoneticPr fontId="7" type="noConversion"/>
  </si>
  <si>
    <t>Bounty: Kill Quorel</t>
    <phoneticPr fontId="7" type="noConversion"/>
  </si>
  <si>
    <t>Bounty: Kill Lurk</t>
    <phoneticPr fontId="7" type="noConversion"/>
  </si>
  <si>
    <t>Bounty: Kill Kago</t>
    <phoneticPr fontId="7" type="noConversion"/>
  </si>
  <si>
    <t>是个哥布林</t>
    <phoneticPr fontId="7" type="noConversion"/>
  </si>
  <si>
    <t>Bounty: Kill Pontius</t>
    <phoneticPr fontId="7" type="noConversion"/>
  </si>
  <si>
    <t>Bounty: Kill Trejiak</t>
    <phoneticPr fontId="7" type="noConversion"/>
  </si>
  <si>
    <t>懸賞：殺死戈倫圖羅</t>
    <phoneticPr fontId="7" type="noConversion"/>
  </si>
  <si>
    <t>Bounty: Kill Ghrentuloth</t>
    <phoneticPr fontId="7" type="noConversion"/>
  </si>
  <si>
    <t>有重复</t>
    <phoneticPr fontId="7" type="noConversion"/>
  </si>
  <si>
    <t>X1_Bounty_A5_WestmarchFire_Kill_GigaPlagueBearer.qst</t>
    <phoneticPr fontId="7" type="noConversion"/>
  </si>
  <si>
    <t>懸賞：殺死巨型瘟疫散佈者</t>
    <phoneticPr fontId="7" type="noConversion"/>
  </si>
  <si>
    <t>Bounty: Kill Giga Plague Bearer</t>
  </si>
  <si>
    <t>Bounty: The War that Time Forgot</t>
    <phoneticPr fontId="7" type="noConversion"/>
  </si>
  <si>
    <t>[非固定出现]外服是一具骷髅，国服是一具发亮的尸体。</t>
    <phoneticPr fontId="7" type="noConversion"/>
  </si>
  <si>
    <t>懸賞：殺死沃倫</t>
    <phoneticPr fontId="7" type="noConversion"/>
  </si>
  <si>
    <t>X1_Bounty_A1_Leoric_Kill_Walloon.qst</t>
    <phoneticPr fontId="7" type="noConversion"/>
  </si>
  <si>
    <t>Bounty: Kill Spatharii</t>
    <phoneticPr fontId="7" type="noConversion"/>
  </si>
  <si>
    <t>X1_Bounty_A1_Leoric_Kill_Spatharii.qst</t>
    <phoneticPr fontId="7" type="noConversion"/>
  </si>
  <si>
    <t>X1_Bounty_A1_Leoric_Kill_Morgan_LeDay.qst</t>
    <phoneticPr fontId="7" type="noConversion"/>
  </si>
  <si>
    <t>Bounty: Kill Jovians</t>
    <phoneticPr fontId="7" type="noConversion"/>
  </si>
  <si>
    <t>X1_Bounty_A1_Leoric_Kill_Jovians.qst</t>
    <phoneticPr fontId="7" type="noConversion"/>
  </si>
  <si>
    <t>Bounty: Kill Johanys</t>
    <phoneticPr fontId="7" type="noConversion"/>
  </si>
  <si>
    <t>X1_Bounty_A1_Leoric_Kill_Johanys.qst</t>
    <phoneticPr fontId="7" type="noConversion"/>
  </si>
  <si>
    <t>Bounty: Kill Hannes</t>
    <phoneticPr fontId="7" type="noConversion"/>
  </si>
  <si>
    <t>X1_Bounty_A1_Leoric_Kill_Hannes.qst</t>
    <phoneticPr fontId="7" type="noConversion"/>
  </si>
  <si>
    <t>Bounty: Kill Boyarsk</t>
    <phoneticPr fontId="7" type="noConversion"/>
  </si>
  <si>
    <t>X1_Bounty_A1_Leoric_Kill_Boyarsk.qst</t>
    <phoneticPr fontId="7" type="noConversion"/>
  </si>
  <si>
    <t>Bounty: Kill Baxtrus</t>
    <phoneticPr fontId="7" type="noConversion"/>
  </si>
  <si>
    <t>X1_Bounty_A1_Leoric_Kill_Baxtrus.qst</t>
    <phoneticPr fontId="7" type="noConversion"/>
  </si>
  <si>
    <t>Bounty: Kill Teffeney</t>
    <phoneticPr fontId="7" type="noConversion"/>
  </si>
  <si>
    <t>X1_Bounty_A1_Wilderness_Kill_Teffeney.qst</t>
    <phoneticPr fontId="7" type="noConversion"/>
  </si>
  <si>
    <t>Bounty: Clear The Icy Pit</t>
    <phoneticPr fontId="7" type="noConversion"/>
  </si>
  <si>
    <t>悬赏任务：清理冰窟</t>
    <phoneticPr fontId="7" type="noConversion"/>
  </si>
  <si>
    <t>懸賞：掃蕩寒冰地穴</t>
    <phoneticPr fontId="7" type="noConversion"/>
  </si>
  <si>
    <t>P4_Bounty_A3_ForestSnow_Cave_Clear.qst</t>
    <phoneticPr fontId="7" type="noConversion"/>
  </si>
  <si>
    <t>懸賞：野蠻人遺族</t>
    <phoneticPr fontId="7" type="noConversion"/>
  </si>
  <si>
    <t>P4_Bounty_A3_RuinsOfSescheron_Event_SkularsQuest.qst</t>
    <phoneticPr fontId="7" type="noConversion"/>
  </si>
  <si>
    <t>懸賞：三大守護者</t>
    <phoneticPr fontId="7" type="noConversion"/>
  </si>
  <si>
    <t>P4_Bounty_A3_RuinsOfSescheron_Event_Guardians.qst</t>
    <phoneticPr fontId="7" type="noConversion"/>
  </si>
  <si>
    <t>懸賞：詛咒堡壘</t>
    <phoneticPr fontId="7" type="noConversion"/>
  </si>
  <si>
    <t>P4_Bounty_A3_RuinsOfSescheron_Event_NorthernAggression.qst</t>
    <phoneticPr fontId="7" type="noConversion"/>
  </si>
  <si>
    <t>懸賞：詛咒的永恆之林</t>
    <phoneticPr fontId="7" type="noConversion"/>
  </si>
  <si>
    <t>P4_Bounty_A3_ForestSnow_Event_CursedChest_01.qst</t>
    <phoneticPr fontId="7" type="noConversion"/>
  </si>
  <si>
    <t>P4_Bounty_A3_ForestSnow_Event_CursedShrine01.qst</t>
    <phoneticPr fontId="7" type="noConversion"/>
  </si>
  <si>
    <t>懸賞：詛咒城郭</t>
    <phoneticPr fontId="7" type="noConversion"/>
  </si>
  <si>
    <t>P4_Bounty_A3_RuinsOfSescheron_Event_DeadlyNature.qst</t>
    <phoneticPr fontId="7" type="noConversion"/>
  </si>
  <si>
    <t>懸賞：殺死卡什克</t>
    <phoneticPr fontId="7" type="noConversion"/>
  </si>
  <si>
    <t>P4_Bounty_A3_ForestSnow_Kill_Unique_Howler.qst</t>
    <phoneticPr fontId="7" type="noConversion"/>
  </si>
  <si>
    <t>懸賞：藏寶庫</t>
    <phoneticPr fontId="7" type="noConversion"/>
  </si>
  <si>
    <t>X1_Bounty_A5_PathToCorvus_Event_TreasureRoom.qst</t>
    <phoneticPr fontId="7" type="noConversion"/>
  </si>
  <si>
    <t>懸賞：干擾林中祝禱</t>
    <phoneticPr fontId="7" type="noConversion"/>
  </si>
  <si>
    <t>P4_Bounty_A5_ForestCoast_Event_Stag_Head.qst</t>
    <phoneticPr fontId="7" type="noConversion"/>
  </si>
  <si>
    <t>懸賞：鬼魂監獄</t>
    <phoneticPr fontId="7" type="noConversion"/>
  </si>
  <si>
    <t>P4_Bounty_A5_ForestCoast_Event_Ghost_Prison.qst</t>
    <phoneticPr fontId="7" type="noConversion"/>
  </si>
  <si>
    <t>懸賞：詛咒之池</t>
    <phoneticPr fontId="7" type="noConversion"/>
  </si>
  <si>
    <t>P4_Bounty_A5_ForestCoast_Event_ForestShrine01.qst</t>
    <phoneticPr fontId="7" type="noConversion"/>
  </si>
  <si>
    <t>懸賞：束縛邪惡</t>
    <phoneticPr fontId="7" type="noConversion"/>
  </si>
  <si>
    <t>P4_Bounty_A5_ForestCoast_Event_Evil_Trees.qst</t>
    <phoneticPr fontId="7" type="noConversion"/>
  </si>
  <si>
    <t>懸賞：詛咒之林</t>
    <phoneticPr fontId="7" type="noConversion"/>
  </si>
  <si>
    <t>P4_Bounty_A5_ForestCoast_CursedChest_01.qst</t>
    <phoneticPr fontId="7" type="noConversion"/>
  </si>
  <si>
    <t>懸賞：殺死黑德蒙通</t>
    <phoneticPr fontId="7" type="noConversion"/>
  </si>
  <si>
    <t>P4_Bounty_A5_ForestCoast_Kill_Unique_HedMonTon.qst</t>
    <phoneticPr fontId="7" type="noConversion"/>
  </si>
  <si>
    <t>懸賞：殺死法祖拉</t>
    <phoneticPr fontId="7" type="noConversion"/>
  </si>
  <si>
    <t>P4_Bounty_A5_ForestCoast_Event_Sacrifice.qst</t>
    <phoneticPr fontId="7" type="noConversion"/>
  </si>
  <si>
    <t>懸賞：殺死鮮美蟹怪</t>
    <phoneticPr fontId="7" type="noConversion"/>
  </si>
  <si>
    <t>P4_Bounty_A5_ForestCoast_Cave_Clear.qst</t>
    <phoneticPr fontId="7" type="noConversion"/>
  </si>
  <si>
    <t>懸賞：禁錮薩滿</t>
    <phoneticPr fontId="7" type="noConversion"/>
  </si>
  <si>
    <t>P4_Bounty_A*_bounty_ground_*_shaman.qst</t>
    <phoneticPr fontId="7" type="noConversion"/>
  </si>
  <si>
    <t>懸賞：黑狂君的傳說</t>
    <phoneticPr fontId="7" type="noConversion"/>
  </si>
  <si>
    <t>P4_Bounty_A*_bounty_ground_*_champ.qst</t>
    <phoneticPr fontId="7" type="noConversion"/>
  </si>
  <si>
    <t>懸賞：詛咒聖壇</t>
    <phoneticPr fontId="7" type="noConversion"/>
  </si>
  <si>
    <t>P4_Bounty_A*_bounty_ground_*_shrines.qst</t>
    <phoneticPr fontId="7" type="noConversion"/>
  </si>
  <si>
    <t>懸賞：穴居怪蔓延</t>
    <phoneticPr fontId="7" type="noConversion"/>
  </si>
  <si>
    <t>P4_Bounty_A*_bounty_ground_*_burrowers.qst</t>
    <phoneticPr fontId="7" type="noConversion"/>
  </si>
  <si>
    <t>2.4悬赏？</t>
    <phoneticPr fontId="85" type="noConversion"/>
  </si>
  <si>
    <t>☆</t>
    <phoneticPr fontId="7" type="noConversion"/>
  </si>
  <si>
    <t>☆</t>
    <phoneticPr fontId="7" type="noConversion"/>
  </si>
  <si>
    <t>☆</t>
    <phoneticPr fontId="7" type="noConversion"/>
  </si>
  <si>
    <t>☆</t>
    <phoneticPr fontId="7" type="noConversion"/>
  </si>
  <si>
    <t>Bounty: Kill Arsect the Venomous</t>
    <phoneticPr fontId="7" type="noConversion"/>
  </si>
  <si>
    <t>Bounty: Research Problems</t>
    <phoneticPr fontId="7" type="noConversion"/>
  </si>
  <si>
    <t>Bounty: Destroy Demonic Ballistae</t>
    <phoneticPr fontId="7" type="noConversion"/>
  </si>
  <si>
    <t>Bounty: Reliquary of the Nephalem</t>
    <phoneticPr fontId="7" type="noConversion"/>
  </si>
  <si>
    <t>X1_Bounty_A5_PathToCorvus_Event_TreasureRoom.qst</t>
    <phoneticPr fontId="7" type="noConversion"/>
  </si>
  <si>
    <t>Bounty: Kill Kalmor</t>
    <phoneticPr fontId="7" type="noConversion"/>
  </si>
  <si>
    <t>Bounty: The Demonic Prisoner</t>
    <phoneticPr fontId="7" type="noConversion"/>
  </si>
  <si>
    <t>一次撕裂 10 個不同的敵人，共 5 次</t>
    <phoneticPr fontId="7" type="noConversion"/>
  </si>
  <si>
    <t>在 6 秒内对每一个精英怪施展跳斩、大地践踏、地震</t>
    <phoneticPr fontId="7" type="noConversion"/>
  </si>
  <si>
    <t>在 1 分钟内每 10 秒冻住并消灭至少 1 个敌人</t>
    <phoneticPr fontId="7" type="noConversion"/>
  </si>
  <si>
    <t>使用天谴同时击中 10 名不同的敌人，完成 12 次</t>
    <phoneticPr fontId="7" type="noConversion"/>
  </si>
  <si>
    <t>被鲜血部族和月亮部族投掷的长矛击中 75 次</t>
    <phoneticPr fontId="7" type="noConversion"/>
  </si>
  <si>
    <t>衔接起连续伤害加成的暗影飞刀击中 20 名不同的敌人，完成 5 次</t>
    <phoneticPr fontId="7" type="noConversion"/>
  </si>
  <si>
    <t>使用你的暗影之力减速 45 名不同的敌人</t>
    <phoneticPr fontId="7" type="noConversion"/>
  </si>
  <si>
    <t>不要让任何敌人进入近战范围</t>
    <phoneticPr fontId="7" type="noConversion"/>
  </si>
  <si>
    <t>不要被任何一个魅魔的投射物击中</t>
    <phoneticPr fontId="7" type="noConversion"/>
  </si>
  <si>
    <t>施展一次时间延缓同时抓住 30 名不同的敌人，完成 3 次</t>
    <phoneticPr fontId="7" type="noConversion"/>
  </si>
  <si>
    <t>反弹 200 个投射物</t>
    <phoneticPr fontId="7" type="noConversion"/>
  </si>
  <si>
    <t>用复活你的那颗陨石击中 50 名不同的敌人</t>
    <phoneticPr fontId="7" type="noConversion"/>
  </si>
  <si>
    <t>不要受到任何毒性伤害</t>
    <phoneticPr fontId="7" type="noConversion"/>
  </si>
  <si>
    <t>使用蟾蜍舔 30 名不同的敌人</t>
    <phoneticPr fontId="7" type="noConversion"/>
  </si>
  <si>
    <t>使用 250% 伤害加成消灭每一个精英怪</t>
    <phoneticPr fontId="7" type="noConversion"/>
  </si>
  <si>
    <t>一次痛割 10 名不同的敌人，完成 5 次</t>
    <phoneticPr fontId="7" type="noConversion"/>
  </si>
  <si>
    <t>在地下城持续时间内不要受到任何物理伤害</t>
    <phoneticPr fontId="7" type="noConversion"/>
  </si>
  <si>
    <t>使用一次狂暴冲撞击中 15 名不同的敌人，完成 6 次</t>
    <phoneticPr fontId="7" type="noConversion"/>
  </si>
  <si>
    <t>使用 1500% 伤害加成的能量消耗技击中不同的敌人，完成 15 次</t>
    <phoneticPr fontId="7" type="noConversion"/>
  </si>
  <si>
    <t>使用一次横扫击中 12 名不同的敌人，完成 7 次</t>
    <phoneticPr fontId="7" type="noConversion"/>
  </si>
  <si>
    <t>在 10 秒内消耗 300 点愤怒值，完成 5 次</t>
    <phoneticPr fontId="7" type="noConversion"/>
  </si>
  <si>
    <t>当站在奉献范围内且已激活钢铁之肤的状态下消灭 5 个精英怪</t>
    <phoneticPr fontId="7" type="noConversion"/>
  </si>
  <si>
    <t>在 15 秒内施放 3 次天罚之剑，完成 3 次</t>
    <phoneticPr fontId="7" type="noConversion"/>
  </si>
  <si>
    <t>不要被任何一发轰炮击中</t>
    <phoneticPr fontId="7" type="noConversion"/>
  </si>
  <si>
    <t>不要耗尽你的憎恨值</t>
    <phoneticPr fontId="7" type="noConversion"/>
  </si>
  <si>
    <t>保持 90 秒的复仇之雨</t>
    <phoneticPr fontId="7" type="noConversion"/>
  </si>
  <si>
    <t>使用一次多重射击击中 20 名敌人，完成 6 次</t>
    <phoneticPr fontId="7" type="noConversion"/>
  </si>
  <si>
    <t>戒律值不能低于 50%</t>
    <phoneticPr fontId="7" type="noConversion"/>
  </si>
  <si>
    <t>不要让任何敌人进入近战范围</t>
    <phoneticPr fontId="7" type="noConversion"/>
  </si>
  <si>
    <t>对 10 码范围内的 10 名敌人施放你的幻身，完成 5 次</t>
    <phoneticPr fontId="7" type="noConversion"/>
  </si>
  <si>
    <t>在地下城的持续时间内不要被冰冻</t>
    <phoneticPr fontId="7" type="noConversion"/>
  </si>
  <si>
    <t>使用你的替身在 6 秒内击中 20 名不同的敌人</t>
    <phoneticPr fontId="7" type="noConversion"/>
  </si>
  <si>
    <t>在地下城持续时间内一直保持劲风煞效果</t>
    <phoneticPr fontId="7" type="noConversion"/>
  </si>
  <si>
    <t>使用爆裂掌同时炸到 21 名敌人，完成 3 次</t>
    <phoneticPr fontId="7" type="noConversion"/>
  </si>
  <si>
    <t>在地下城持续时间内不要受到火焰伤害</t>
    <phoneticPr fontId="7" type="noConversion"/>
  </si>
  <si>
    <t>在 2 分钟内抵达地下城终点的黄金宝箱处</t>
    <phoneticPr fontId="7" type="noConversion"/>
  </si>
  <si>
    <t>在有 4 层塔·拉夏叠加效果的状态下消灭 90 名敌人</t>
    <phoneticPr fontId="7" type="noConversion"/>
  </si>
  <si>
    <t>不要被岩虫咬到</t>
    <phoneticPr fontId="7" type="noConversion"/>
  </si>
  <si>
    <t>在御法者形态下达到 100 层叠加效果 3 次</t>
    <phoneticPr fontId="7" type="noConversion"/>
  </si>
  <si>
    <t>在御法者形态下消灭 300 名敌人</t>
    <phoneticPr fontId="7" type="noConversion"/>
  </si>
  <si>
    <t>使用一次亡者之墙消灭 20 名敌人，完成 4 次</t>
    <phoneticPr fontId="7" type="noConversion"/>
  </si>
  <si>
    <t>消灭每一个同时被蛛后网住且被食人鱼噬咬的精英怪</t>
    <phoneticPr fontId="7" type="noConversion"/>
  </si>
  <si>
    <t>同时收割 15 名不同的敌人，完成 10 次</t>
    <phoneticPr fontId="7" type="noConversion"/>
  </si>
  <si>
    <t>消灭 100 名同时受到瘟疫虫群和蚀魂效果影响的敌人</t>
    <phoneticPr fontId="7" type="noConversion"/>
  </si>
  <si>
    <t>在未受到致命傷害的情況下，擊殺</t>
    <phoneticPr fontId="7" type="noConversion"/>
  </si>
  <si>
    <t>消灭</t>
    <phoneticPr fontId="7" type="noConversion"/>
  </si>
  <si>
    <t>隻怪物</t>
    <phoneticPr fontId="7" type="noConversion"/>
  </si>
  <si>
    <t>个怪物且未受到致命伤害</t>
    <phoneticPr fontId="7" type="noConversion"/>
  </si>
  <si>
    <t>代码</t>
    <phoneticPr fontId="7" type="noConversion"/>
  </si>
  <si>
    <t>繁中</t>
    <phoneticPr fontId="7" type="noConversion"/>
  </si>
  <si>
    <t>简中</t>
    <phoneticPr fontId="7" type="noConversion"/>
  </si>
  <si>
    <t>SetDungData</t>
    <phoneticPr fontId="7" type="noConversion"/>
  </si>
  <si>
    <t>Basic2</t>
    <phoneticPr fontId="7" type="noConversion"/>
  </si>
  <si>
    <t>Barb11</t>
    <phoneticPr fontId="7" type="noConversion"/>
  </si>
  <si>
    <t>Barb12</t>
  </si>
  <si>
    <t>Barb21</t>
    <phoneticPr fontId="7" type="noConversion"/>
  </si>
  <si>
    <t>Barb22</t>
    <phoneticPr fontId="7" type="noConversion"/>
  </si>
  <si>
    <t>Barb31</t>
    <phoneticPr fontId="7" type="noConversion"/>
  </si>
  <si>
    <t>Barb32</t>
    <phoneticPr fontId="7" type="noConversion"/>
  </si>
  <si>
    <t>Barb41</t>
    <phoneticPr fontId="7" type="noConversion"/>
  </si>
  <si>
    <t>Barb42</t>
    <phoneticPr fontId="7" type="noConversion"/>
  </si>
  <si>
    <t>Cru11</t>
  </si>
  <si>
    <t>Cru12</t>
  </si>
  <si>
    <t>Cru21</t>
  </si>
  <si>
    <t>Cru22</t>
  </si>
  <si>
    <t>Cru31</t>
  </si>
  <si>
    <t>Cru32</t>
  </si>
  <si>
    <t>Cru41</t>
  </si>
  <si>
    <t>Cru42</t>
  </si>
  <si>
    <t>DH11</t>
  </si>
  <si>
    <t>DH12</t>
  </si>
  <si>
    <t>DH21</t>
  </si>
  <si>
    <t>DH22</t>
  </si>
  <si>
    <t>DH31</t>
  </si>
  <si>
    <t>DH32</t>
  </si>
  <si>
    <t>DH41</t>
  </si>
  <si>
    <t>DH42</t>
  </si>
  <si>
    <t>Monk11</t>
  </si>
  <si>
    <t>Monk12</t>
  </si>
  <si>
    <t>Monk21</t>
  </si>
  <si>
    <t>Monk22</t>
  </si>
  <si>
    <t>Monk31</t>
  </si>
  <si>
    <t>Monk32</t>
  </si>
  <si>
    <t>Monk41</t>
  </si>
  <si>
    <t>Monk42</t>
  </si>
  <si>
    <t>Wiz11</t>
  </si>
  <si>
    <t>Wiz12</t>
  </si>
  <si>
    <t>Wiz21</t>
  </si>
  <si>
    <t>Wiz22</t>
  </si>
  <si>
    <t>Wiz31</t>
  </si>
  <si>
    <t>Wiz32</t>
  </si>
  <si>
    <t>Wiz41</t>
  </si>
  <si>
    <t>Wiz42</t>
  </si>
  <si>
    <t>WD11</t>
  </si>
  <si>
    <t>WD12</t>
  </si>
  <si>
    <t>WD21</t>
  </si>
  <si>
    <t>WD22</t>
  </si>
  <si>
    <t>WD31</t>
  </si>
  <si>
    <t>WD32</t>
  </si>
  <si>
    <t>WD41</t>
  </si>
  <si>
    <t>WD42</t>
  </si>
  <si>
    <r>
      <t>说明：1、激活某件职业套装的全套效果，即可在对应入口位置发现传送门，进入该套装地下城。
　　　2、在任意时间内，完成基本目标和至少一个主要目标，即可获得</t>
    </r>
    <r>
      <rPr>
        <b/>
        <sz val="10"/>
        <rFont val="微软雅黑"/>
        <family val="2"/>
        <charset val="134"/>
      </rPr>
      <t>基本成就</t>
    </r>
    <r>
      <rPr>
        <sz val="10"/>
        <rFont val="微软雅黑"/>
        <family val="2"/>
        <charset val="134"/>
      </rPr>
      <t>。
　　　3、在4:30内，击杀地下城全部怪物，并完成所有目标，即可获得</t>
    </r>
    <r>
      <rPr>
        <b/>
        <sz val="10"/>
        <rFont val="微软雅黑"/>
        <family val="2"/>
        <charset val="134"/>
      </rPr>
      <t>精通成就</t>
    </r>
    <r>
      <rPr>
        <sz val="10"/>
        <rFont val="微软雅黑"/>
        <family val="2"/>
        <charset val="134"/>
      </rPr>
      <t>。
　　　4、任意职业队友可以进入地下城协助清怪，但只有开启者能获得对应成就。</t>
    </r>
    <r>
      <rPr>
        <b/>
        <sz val="10"/>
        <rFont val="微软雅黑"/>
        <family val="2"/>
        <charset val="134"/>
      </rPr>
      <t>本攻略为单人模式精通成就攻略</t>
    </r>
    <r>
      <rPr>
        <sz val="10"/>
        <rFont val="微软雅黑"/>
        <family val="2"/>
        <charset val="134"/>
      </rPr>
      <t>。
　　　5、无论是用哪个职业进哪个地下城，</t>
    </r>
    <r>
      <rPr>
        <b/>
        <sz val="10"/>
        <rFont val="微软雅黑"/>
        <family val="2"/>
        <charset val="134"/>
      </rPr>
      <t>请带好跑图装备及技能</t>
    </r>
    <r>
      <rPr>
        <sz val="10"/>
        <rFont val="微软雅黑"/>
        <family val="2"/>
        <charset val="134"/>
      </rPr>
      <t>。</t>
    </r>
    <phoneticPr fontId="7" type="noConversion"/>
  </si>
  <si>
    <t>用亡者之握抓住 150 名敌人</t>
    <phoneticPr fontId="7" type="noConversion"/>
  </si>
  <si>
    <t>5不朽套+3蕾蔻套，冲锋抛石流。
使用[狂暴冲锋]跑图并制造伤害；使用[上古之矛-投掷巨石]泄怒，以维持[狂暴者之怒]状态。</t>
    <phoneticPr fontId="7" type="noConversion"/>
  </si>
  <si>
    <t>6废土套+2布尔凯索套，旋风流。
该地下城所有怪物均为近战单位，精英怪会筑墙，注意躲避；使用[大地践踏-足扭乾坤]（加范围符文）+[痛割-切割]（加范围符文）完成主要目标。
萃取[虚幻长靴]，配合提高移动速度的技能，躲避怪物伤害。
该地下城左上角有一小块隐藏区域，内有一只怪物，路过时不要错过。</t>
    <phoneticPr fontId="7" type="noConversion"/>
  </si>
  <si>
    <t>6蕾蔻套，冲锋抛石流。
使用[狂暴冲锋]跑图并制造伤害；使用[上古之矛-投掷巨石]击杀精英，并完成对应主要目标；地图较大，使用[疾奔]提高跑图速度。
胖子怪物爆炸后吐出的怪物不会纳入击杀计数，可以无视。</t>
    <phoneticPr fontId="7" type="noConversion"/>
  </si>
  <si>
    <t>6大地之力套+掳宝长靴，地震抛石流。
使用[地震-冻土]，配合[跳斩]冻结敌人并制造伤害；使用[上古之矛-投掷巨石]泄怒，刷新技能CD。
要对精英怪完整释放连招，必须控制伤害量。建议面板伤害不超过100万，不要使用对戒、元素戒等增伤装备。</t>
    <phoneticPr fontId="7" type="noConversion"/>
  </si>
  <si>
    <t>（攻略部分均使用国服简中译名）</t>
    <phoneticPr fontId="7" type="noConversion"/>
  </si>
  <si>
    <t>「不朽之王的呼唤」</t>
    <phoneticPr fontId="49" type="noConversion"/>
  </si>
  <si>
    <t>賽斯雪隆廢墟</t>
    <phoneticPr fontId="20" type="noConversion"/>
  </si>
  <si>
    <t>蔓藤废墟</t>
    <phoneticPr fontId="20" type="noConversion"/>
  </si>
  <si>
    <t>蔓草廢墟</t>
    <phoneticPr fontId="20" type="noConversion"/>
  </si>
  <si>
    <t>卡尔蒂姆城</t>
    <phoneticPr fontId="20" type="noConversion"/>
  </si>
  <si>
    <t>奧卡納斯之路</t>
    <phoneticPr fontId="20" type="noConversion"/>
  </si>
  <si>
    <t>臨鎮道路</t>
    <phoneticPr fontId="20" type="noConversion"/>
  </si>
  <si>
    <t>眺望之路</t>
    <phoneticPr fontId="20" type="noConversion"/>
  </si>
  <si>
    <t>浸水小径</t>
  </si>
  <si>
    <t>浸水通道</t>
    <phoneticPr fontId="20" type="noConversion"/>
  </si>
  <si>
    <t>混沌界要塞第三層</t>
  </si>
  <si>
    <t>混沌要塞三层</t>
    <phoneticPr fontId="20" type="noConversion"/>
  </si>
  <si>
    <t>被淹没的堤道</t>
  </si>
  <si>
    <t>積水的下水道</t>
  </si>
  <si>
    <t>天堂之巅</t>
  </si>
  <si>
    <t>天堂之巔</t>
    <phoneticPr fontId="20" type="noConversion"/>
  </si>
  <si>
    <t>萨卡兰姆大教堂</t>
    <phoneticPr fontId="20" type="noConversion"/>
  </si>
  <si>
    <t>撒卡蘭姆大教堂</t>
    <phoneticPr fontId="20" type="noConversion"/>
  </si>
  <si>
    <t>佐敦庫勒秘庫</t>
    <phoneticPr fontId="20" type="noConversion"/>
  </si>
  <si>
    <t>亞瑞特地核</t>
    <phoneticPr fontId="20" type="noConversion"/>
  </si>
  <si>
    <t>大教堂第四層-王室墓穴</t>
    <phoneticPr fontId="20" type="noConversion"/>
  </si>
  <si>
    <t>希望花园-光明前厅</t>
    <phoneticPr fontId="20" type="noConversion"/>
  </si>
  <si>
    <t>希望園圃-聖光前廳</t>
    <phoneticPr fontId="20" type="noConversion"/>
  </si>
  <si>
    <t>在阿卡拉特勇士处于激活状态下消灭 150 名敌人</t>
    <phoneticPr fontId="7" type="noConversion"/>
  </si>
  <si>
    <t>6不死鸟套，任意高火伤流派。
在怪物密集的区域使用高爆发火伤技能（[瓦解射线-热能汇聚]、[能量气旋-狂风之力]、[黑洞-耀变体]等），迅速“点燃”大量怪物即可完成着火目标。
将数十只小怪引至身边，战死触发不死鸟套特效，召唤陨石将身边小怪尽数砸中，完成对应目标。
可装备「虚幻长靴」方便穿怪。</t>
    <phoneticPr fontId="7" type="noConversion"/>
  </si>
  <si>
    <t>在狂戰之怒的效果持續時間內擊殺 150 個敵人</t>
    <phoneticPr fontId="7" type="noConversion"/>
  </si>
  <si>
    <t>保持至少 3 座衛哨箭塔同時啟動，擊殺 140 個敵人</t>
    <phoneticPr fontId="7" type="noConversion"/>
  </si>
  <si>
    <t xml:space="preserve">在 3 秒內燒灼或是擊殺 20 個敵人，共 6 次 </t>
    <phoneticPr fontId="7" type="noConversion"/>
  </si>
  <si>
    <t>★★★☆☆</t>
    <phoneticPr fontId="7" type="noConversion"/>
  </si>
  <si>
    <t>6玉魂套，Dot收割流。
使用[蚀魂]、[瘟疫虫群]，配合[灵魂收割]完成清图即可。为了完成次收割目标，可以先收割，再释放Dot技能。
地下城地图较大，注意不要漏掉怪物。
萃取「羽蛇神」、「空无之戒」，提高Dot技能伤害。</t>
    <phoneticPr fontId="7" type="noConversion"/>
  </si>
  <si>
    <t>Basic1</t>
    <phoneticPr fontId="7" type="noConversion"/>
  </si>
  <si>
    <t>地下城</t>
    <phoneticPr fontId="20" type="noConversion"/>
  </si>
  <si>
    <r>
      <t>A</t>
    </r>
    <r>
      <rPr>
        <sz val="10"/>
        <rFont val="宋体"/>
        <family val="3"/>
        <charset val="134"/>
      </rPr>
      <t>3</t>
    </r>
    <phoneticPr fontId="20" type="noConversion"/>
  </si>
  <si>
    <r>
      <t>A</t>
    </r>
    <r>
      <rPr>
        <sz val="10"/>
        <rFont val="宋体"/>
        <family val="3"/>
        <charset val="134"/>
      </rPr>
      <t>5</t>
    </r>
    <phoneticPr fontId="20" type="noConversion"/>
  </si>
  <si>
    <r>
      <t>A</t>
    </r>
    <r>
      <rPr>
        <sz val="10"/>
        <rFont val="宋体"/>
        <family val="3"/>
        <charset val="134"/>
      </rPr>
      <t>2</t>
    </r>
    <phoneticPr fontId="20" type="noConversion"/>
  </si>
  <si>
    <r>
      <t>A</t>
    </r>
    <r>
      <rPr>
        <sz val="10"/>
        <rFont val="宋体"/>
        <family val="3"/>
        <charset val="134"/>
      </rPr>
      <t>2</t>
    </r>
    <phoneticPr fontId="20" type="noConversion"/>
  </si>
  <si>
    <r>
      <t>A</t>
    </r>
    <r>
      <rPr>
        <sz val="10"/>
        <rFont val="宋体"/>
        <family val="3"/>
        <charset val="134"/>
      </rPr>
      <t>5</t>
    </r>
    <phoneticPr fontId="20" type="noConversion"/>
  </si>
  <si>
    <r>
      <t>A</t>
    </r>
    <r>
      <rPr>
        <sz val="10"/>
        <rFont val="宋体"/>
        <family val="3"/>
        <charset val="134"/>
      </rPr>
      <t>2</t>
    </r>
    <phoneticPr fontId="20" type="noConversion"/>
  </si>
  <si>
    <r>
      <t>A</t>
    </r>
    <r>
      <rPr>
        <sz val="10"/>
        <rFont val="宋体"/>
        <family val="3"/>
        <charset val="134"/>
      </rPr>
      <t>4</t>
    </r>
    <phoneticPr fontId="20" type="noConversion"/>
  </si>
  <si>
    <r>
      <t>A</t>
    </r>
    <r>
      <rPr>
        <sz val="10"/>
        <rFont val="宋体"/>
        <family val="3"/>
        <charset val="134"/>
      </rPr>
      <t>4</t>
    </r>
    <phoneticPr fontId="20" type="noConversion"/>
  </si>
  <si>
    <t>第一章</t>
    <phoneticPr fontId="7" type="noConversion"/>
  </si>
  <si>
    <t>第二章</t>
    <phoneticPr fontId="7" type="noConversion"/>
  </si>
  <si>
    <t>第三章</t>
    <phoneticPr fontId="7" type="noConversion"/>
  </si>
  <si>
    <t>商人</t>
    <phoneticPr fontId="7" type="noConversion"/>
  </si>
  <si>
    <t>市场研究</t>
    <phoneticPr fontId="20" type="noConversion"/>
  </si>
  <si>
    <t>市場調查</t>
    <phoneticPr fontId="20" type="noConversion"/>
  </si>
  <si>
    <t>所在地图</t>
    <phoneticPr fontId="7" type="noConversion"/>
  </si>
  <si>
    <t>煉金師羅德格</t>
    <phoneticPr fontId="7" type="noConversion"/>
  </si>
  <si>
    <t>炼金师罗杰</t>
    <phoneticPr fontId="7" type="noConversion"/>
  </si>
  <si>
    <t>☆数据暂缺☆</t>
    <phoneticPr fontId="7" type="noConversion"/>
  </si>
  <si>
    <t>武器鍛造師奇爾</t>
    <phoneticPr fontId="7" type="noConversion"/>
  </si>
  <si>
    <t>武器制造师吉尔</t>
    <phoneticPr fontId="7" type="noConversion"/>
  </si>
  <si>
    <t>流浪工匠</t>
    <phoneticPr fontId="7" type="noConversion"/>
  </si>
  <si>
    <t>流浪修补匠</t>
    <phoneticPr fontId="7" type="noConversion"/>
  </si>
  <si>
    <t>沃薩姆峭壁</t>
    <phoneticPr fontId="20" type="noConversion"/>
  </si>
  <si>
    <t>沃桑崖山</t>
    <phoneticPr fontId="20" type="noConversion"/>
  </si>
  <si>
    <t>苦痛刑牢</t>
    <phoneticPr fontId="20" type="noConversion"/>
  </si>
  <si>
    <t>苦痛刑牢-高地小徑</t>
    <phoneticPr fontId="20" type="noConversion"/>
  </si>
  <si>
    <t>苦痛大厅三层</t>
    <phoneticPr fontId="20" type="noConversion"/>
  </si>
  <si>
    <t>苦痛大厅</t>
    <phoneticPr fontId="20" type="noConversion"/>
  </si>
  <si>
    <t>苦痛大厅-高地小径</t>
    <phoneticPr fontId="20" type="noConversion"/>
  </si>
  <si>
    <t>戰場-鑄造廠第一層</t>
    <phoneticPr fontId="20" type="noConversion"/>
  </si>
  <si>
    <t>战场-铸造间一层</t>
    <phoneticPr fontId="20" type="noConversion"/>
  </si>
  <si>
    <t>共有两个刷新点，详见大地图资料。</t>
    <phoneticPr fontId="7" type="noConversion"/>
  </si>
  <si>
    <t>在一个带壁炉的房间里，清完怪后炼金师会从床底爬出来</t>
    <phoneticPr fontId="7" type="noConversion"/>
  </si>
  <si>
    <t>市场调查</t>
    <phoneticPr fontId="7" type="noConversion"/>
  </si>
  <si>
    <t>紫金蓝怪分布、书籍、事件及对话成就攻略表（多语言版）</t>
    <phoneticPr fontId="12" type="noConversion"/>
  </si>
  <si>
    <t>鑽岩蟲隧道</t>
    <phoneticPr fontId="20" type="noConversion"/>
  </si>
  <si>
    <t>在狂暴者之怒状态下消灭 150 名敌人</t>
  </si>
  <si>
    <t>在激活 3 个或更多箭塔的情况下，消灭 140 名敌人</t>
  </si>
  <si>
    <t>在 3 秒内点燃或消灭 20 名敌人，完成 6 次</t>
  </si>
  <si>
    <t>详细节点</t>
    <phoneticPr fontId="7" type="noConversion"/>
  </si>
  <si>
    <t xml:space="preserve"> -修正了A1书籍掉落源“腐朽的尸体”的刷新位置</t>
    <phoneticPr fontId="50" type="noConversion"/>
  </si>
  <si>
    <t>[固定出现][任务]3-2-1</t>
    <phoneticPr fontId="46" type="noConversion"/>
  </si>
  <si>
    <t xml:space="preserve"> -修正了A3事件“等待增援”的任务节点</t>
    <phoneticPr fontId="50" type="noConversion"/>
  </si>
  <si>
    <t>迷宮第1層</t>
    <phoneticPr fontId="20" type="noConversion"/>
  </si>
  <si>
    <t>迷宮第2層</t>
  </si>
  <si>
    <t>迷宮第3層</t>
  </si>
  <si>
    <t>迷宮第4層</t>
  </si>
  <si>
    <t>迷宮第5層</t>
  </si>
  <si>
    <t>迷宮第6層</t>
  </si>
  <si>
    <t>迷宮第7層</t>
  </si>
  <si>
    <t>迷宮第8層</t>
  </si>
  <si>
    <t>迷宮第9層</t>
  </si>
  <si>
    <t>迷宮第10層</t>
  </si>
  <si>
    <t>迷宮第11層</t>
  </si>
  <si>
    <t>迷宮第12層</t>
  </si>
  <si>
    <t>迷宮第13層</t>
  </si>
  <si>
    <t>迷宮第14層</t>
  </si>
  <si>
    <t>迷宮第15層</t>
  </si>
  <si>
    <t>迷宮第16層</t>
  </si>
  <si>
    <t>Oozedrool</t>
    <phoneticPr fontId="7" type="noConversion"/>
  </si>
  <si>
    <t>噴涕</t>
    <phoneticPr fontId="7" type="noConversion"/>
  </si>
  <si>
    <t>孱弱的賈巴德</t>
    <phoneticPr fontId="7" type="noConversion"/>
  </si>
  <si>
    <t>Bloodgutter</t>
    <phoneticPr fontId="7" type="noConversion"/>
  </si>
  <si>
    <t>Bloodskin Darkbow</t>
    <phoneticPr fontId="7" type="noConversion"/>
  </si>
  <si>
    <t>Zhar the mad</t>
    <phoneticPr fontId="7" type="noConversion"/>
  </si>
  <si>
    <t>Breakspine</t>
    <phoneticPr fontId="7" type="noConversion"/>
  </si>
  <si>
    <t>Blackstorm</t>
    <phoneticPr fontId="7" type="noConversion"/>
  </si>
  <si>
    <t>Brokenhead Bangshield</t>
    <phoneticPr fontId="7" type="noConversion"/>
  </si>
  <si>
    <t>Graywar the Slayer</t>
    <phoneticPr fontId="7" type="noConversion"/>
  </si>
  <si>
    <t>Steelskull the Hunter</t>
    <phoneticPr fontId="7" type="noConversion"/>
  </si>
  <si>
    <t>Sir Gorash</t>
    <phoneticPr fontId="7" type="noConversion"/>
  </si>
  <si>
    <t>Blacklash the Burning</t>
    <phoneticPr fontId="7" type="noConversion"/>
  </si>
  <si>
    <t>Viperflame</t>
    <phoneticPr fontId="7" type="noConversion"/>
  </si>
  <si>
    <t>Blackjade</t>
    <phoneticPr fontId="7" type="noConversion"/>
  </si>
  <si>
    <t>Stareye the Witch</t>
    <phoneticPr fontId="7" type="noConversion"/>
  </si>
  <si>
    <t>The Flayer</t>
    <phoneticPr fontId="7" type="noConversion"/>
  </si>
  <si>
    <t>Rotfeasy the Hungry</t>
    <phoneticPr fontId="7" type="noConversion"/>
  </si>
  <si>
    <t>Barcon Sludge</t>
    <phoneticPr fontId="7" type="noConversion"/>
  </si>
  <si>
    <t>Shadowcrow</t>
    <phoneticPr fontId="7" type="noConversion"/>
  </si>
  <si>
    <t>Foulwing</t>
    <phoneticPr fontId="7" type="noConversion"/>
  </si>
  <si>
    <t>亡影·肉擊</t>
    <phoneticPr fontId="7" type="noConversion"/>
  </si>
  <si>
    <t>Blighthorn Steelmace</t>
    <phoneticPr fontId="7" type="noConversion"/>
  </si>
  <si>
    <t>Gorestone</t>
    <phoneticPr fontId="7" type="noConversion"/>
  </si>
  <si>
    <t>The Vizier</t>
    <phoneticPr fontId="7" type="noConversion"/>
  </si>
  <si>
    <t>Bluehorn</t>
    <phoneticPr fontId="7" type="noConversion"/>
  </si>
  <si>
    <t>Firewound the Grim</t>
    <phoneticPr fontId="7" type="noConversion"/>
  </si>
  <si>
    <t>Lionskull the Bent</t>
    <phoneticPr fontId="7" type="noConversion"/>
  </si>
  <si>
    <t>Rustweaver</t>
    <phoneticPr fontId="7" type="noConversion"/>
  </si>
  <si>
    <t>血之霸主</t>
    <phoneticPr fontId="7" type="noConversion"/>
  </si>
  <si>
    <t>Madeye the Dead</t>
    <phoneticPr fontId="7" type="noConversion"/>
  </si>
  <si>
    <t>Fangspeir</t>
    <phoneticPr fontId="7" type="noConversion"/>
  </si>
  <si>
    <t>Witchmoon</t>
    <phoneticPr fontId="7" type="noConversion"/>
  </si>
  <si>
    <t>Red Vex</t>
    <phoneticPr fontId="7" type="noConversion"/>
  </si>
  <si>
    <t>Brokenstorm</t>
    <phoneticPr fontId="7" type="noConversion"/>
  </si>
  <si>
    <t>影噬</t>
    <phoneticPr fontId="7" type="noConversion"/>
  </si>
  <si>
    <t>周年活动独特怪（紫名怪）出没地点一览</t>
    <phoneticPr fontId="7" type="noConversion"/>
  </si>
  <si>
    <t>冒險的英雄 鎮民的勇士 崔斯特姆保護者</t>
  </si>
  <si>
    <t>地点</t>
    <phoneticPr fontId="7" type="noConversion"/>
  </si>
  <si>
    <t>★</t>
  </si>
  <si>
    <t>穢邪祭壇</t>
    <phoneticPr fontId="7" type="noConversion"/>
  </si>
  <si>
    <t>固定出现</t>
    <phoneticPr fontId="7" type="noConversion"/>
  </si>
  <si>
    <t>注：该活动为暗黑破坏神系列游戏20周年庆典活动，于2017年1月正式上线。</t>
    <phoneticPr fontId="7" type="noConversion"/>
  </si>
  <si>
    <t>　　传送至A1旧废墟，进入下方蓝色传送门，即可传至崔斯特姆。向右上移动，即可进入大教堂迷宫。</t>
    <phoneticPr fontId="7" type="noConversion"/>
  </si>
  <si>
    <t>Viletouch</t>
    <phoneticPr fontId="7" type="noConversion"/>
  </si>
  <si>
    <t>Goldblight of the Flame</t>
    <phoneticPr fontId="7" type="noConversion"/>
  </si>
  <si>
    <t>Nigttwing the Cold</t>
    <phoneticPr fontId="7" type="noConversion"/>
  </si>
  <si>
    <t>Bilefroth the Pit Master</t>
    <phoneticPr fontId="7" type="noConversion"/>
  </si>
  <si>
    <t>Deathshade Fleshmaul</t>
  </si>
  <si>
    <t>Warlord of Blood</t>
  </si>
  <si>
    <t>Shadowbite</t>
  </si>
  <si>
    <t>Snotspill</t>
  </si>
  <si>
    <t>Gharbaad the Weak</t>
  </si>
  <si>
    <t>寒冰夜翼</t>
    <phoneticPr fontId="7" type="noConversion"/>
  </si>
  <si>
    <t>邪觸</t>
    <phoneticPr fontId="7" type="noConversion"/>
  </si>
  <si>
    <t>污泥男爵</t>
    <phoneticPr fontId="7" type="noConversion"/>
  </si>
  <si>
    <t>影鴉</t>
    <phoneticPr fontId="7" type="noConversion"/>
  </si>
  <si>
    <t>妖邪之翼</t>
    <phoneticPr fontId="7" type="noConversion"/>
  </si>
  <si>
    <t>疫角·鋼鎚</t>
    <phoneticPr fontId="7" type="noConversion"/>
  </si>
  <si>
    <t>腥岩</t>
    <phoneticPr fontId="7" type="noConversion"/>
  </si>
  <si>
    <t>烈火金荒</t>
    <phoneticPr fontId="7" type="noConversion"/>
  </si>
  <si>
    <t>奴隸主惡沫</t>
    <phoneticPr fontId="7" type="noConversion"/>
  </si>
  <si>
    <t>膿涎</t>
    <phoneticPr fontId="7" type="noConversion"/>
  </si>
  <si>
    <t>血腥撕腸者</t>
    <phoneticPr fontId="7" type="noConversion"/>
  </si>
  <si>
    <t>血膚·暗弓</t>
    <phoneticPr fontId="7" type="noConversion"/>
  </si>
  <si>
    <t>狂法師扎爾</t>
    <phoneticPr fontId="7" type="noConversion"/>
  </si>
  <si>
    <t>首相</t>
    <phoneticPr fontId="7" type="noConversion"/>
  </si>
  <si>
    <t>青角</t>
    <phoneticPr fontId="7" type="noConversion"/>
  </si>
  <si>
    <t>厲傷·兇火</t>
    <phoneticPr fontId="7" type="noConversion"/>
  </si>
  <si>
    <t>獅顱</t>
    <phoneticPr fontId="7" type="noConversion"/>
  </si>
  <si>
    <t>織鏽者</t>
    <phoneticPr fontId="7" type="noConversion"/>
  </si>
  <si>
    <t>狂眼亡骨</t>
    <phoneticPr fontId="7" type="noConversion"/>
  </si>
  <si>
    <t>毒矛之牙</t>
    <phoneticPr fontId="7" type="noConversion"/>
  </si>
  <si>
    <t>巫異之月</t>
    <phoneticPr fontId="7" type="noConversion"/>
  </si>
  <si>
    <t>紅怨</t>
    <phoneticPr fontId="7" type="noConversion"/>
  </si>
  <si>
    <t>破碎風暴</t>
    <phoneticPr fontId="7" type="noConversion"/>
  </si>
  <si>
    <t>破脊</t>
    <phoneticPr fontId="7" type="noConversion"/>
  </si>
  <si>
    <t>黑暗風暴</t>
    <phoneticPr fontId="7" type="noConversion"/>
  </si>
  <si>
    <t>破顱·搥盾</t>
    <phoneticPr fontId="7" type="noConversion"/>
  </si>
  <si>
    <t>殺戮者葛雷瓦</t>
    <phoneticPr fontId="7" type="noConversion"/>
  </si>
  <si>
    <t>獵人鋼顱</t>
    <phoneticPr fontId="7" type="noConversion"/>
  </si>
  <si>
    <t>哥羅許爵士</t>
    <phoneticPr fontId="7" type="noConversion"/>
  </si>
  <si>
    <t>燃火焦灰</t>
    <phoneticPr fontId="7" type="noConversion"/>
  </si>
  <si>
    <t>毒蛇之焰</t>
    <phoneticPr fontId="7" type="noConversion"/>
  </si>
  <si>
    <t>黑玉</t>
    <phoneticPr fontId="7" type="noConversion"/>
  </si>
  <si>
    <t>星眼女巫</t>
    <phoneticPr fontId="7" type="noConversion"/>
  </si>
  <si>
    <t>剝皮者</t>
    <phoneticPr fontId="7" type="noConversion"/>
  </si>
  <si>
    <t>飢餓的腐宴</t>
    <phoneticPr fontId="7" type="noConversion"/>
  </si>
  <si>
    <r>
      <t>", Data!$B:$D,H</t>
    </r>
    <r>
      <rPr>
        <sz val="11"/>
        <color indexed="8"/>
        <rFont val="宋体"/>
        <family val="3"/>
        <charset val="134"/>
      </rPr>
      <t>1,FALSE)</t>
    </r>
    <phoneticPr fontId="20" type="noConversion"/>
  </si>
  <si>
    <r>
      <t>", Data!$B:$D,H</t>
    </r>
    <r>
      <rPr>
        <sz val="11"/>
        <color indexed="8"/>
        <rFont val="宋体"/>
        <family val="3"/>
        <charset val="134"/>
      </rPr>
      <t>1,FALSE)</t>
    </r>
    <r>
      <rPr>
        <sz val="11"/>
        <color theme="1"/>
        <rFont val="宋体"/>
        <family val="2"/>
        <charset val="134"/>
        <scheme val="minor"/>
      </rPr>
      <t/>
    </r>
  </si>
  <si>
    <r>
      <t>", Data!$B:$D,H</t>
    </r>
    <r>
      <rPr>
        <sz val="11"/>
        <color indexed="8"/>
        <rFont val="宋体"/>
        <family val="3"/>
        <charset val="134"/>
      </rPr>
      <t>1,FALSE)</t>
    </r>
    <r>
      <rPr>
        <sz val="11"/>
        <color theme="1"/>
        <rFont val="宋体"/>
        <family val="2"/>
        <charset val="134"/>
        <scheme val="minor"/>
      </rPr>
      <t/>
    </r>
    <phoneticPr fontId="20" type="noConversion"/>
  </si>
  <si>
    <t>穢邪祭壇</t>
    <phoneticPr fontId="20" type="noConversion"/>
  </si>
  <si>
    <t>★</t>
    <phoneticPr fontId="7" type="noConversion"/>
  </si>
  <si>
    <t>南部高地桥头到图腾之间的道路附近</t>
    <phoneticPr fontId="7" type="noConversion"/>
  </si>
  <si>
    <t>南部高地传送平台附近</t>
    <phoneticPr fontId="7" type="noConversion"/>
  </si>
  <si>
    <t>出現在剧情模式任務“死亡使者”中（5-3-2）</t>
    <phoneticPr fontId="7" type="noConversion"/>
  </si>
  <si>
    <t>出現在剧情模式任務“死亡使者”中（5-3-2）</t>
    <phoneticPr fontId="7" type="noConversion"/>
  </si>
  <si>
    <t>地獄之門第一層</t>
    <phoneticPr fontId="20" type="noConversion"/>
  </si>
  <si>
    <t>☆数据暂缺☆</t>
    <phoneticPr fontId="20" type="noConversion"/>
  </si>
  <si>
    <t>[非固定出现]陵墓位于达尔格绿洲随机出现，陵墓的入口需要开启入口边的机关才会出现。进入墓穴后点击地面上的背包即可</t>
    <phoneticPr fontId="7" type="noConversion"/>
  </si>
  <si>
    <t>[悬赏任务]国服悬赏名为“审判”</t>
    <phoneticPr fontId="7" type="noConversion"/>
  </si>
  <si>
    <t>[剧情模式]5-6-2 （若在冒险模式下完成，可能无法触发成就）</t>
    <phoneticPr fontId="7" type="noConversion"/>
  </si>
  <si>
    <t>[剧情模式]5-6-2 （若在冒险模式下完成，可能无法触发成就）</t>
    <phoneticPr fontId="7" type="noConversion"/>
  </si>
  <si>
    <t>[剧情模式]5-6-2 （若在冒险模式下完成，可能无法触发成就）</t>
    <phoneticPr fontId="7" type="noConversion"/>
  </si>
  <si>
    <t xml:space="preserve"> -新增A4精英蓝怪“统御魔”的刷新地点</t>
    <phoneticPr fontId="50" type="noConversion"/>
  </si>
  <si>
    <t xml:space="preserve"> -微调了部分紫怪、书籍成就的注释。</t>
    <phoneticPr fontId="50" type="noConversion"/>
  </si>
  <si>
    <t xml:space="preserve"> -新增暗黑20周年活动紫怪刷新地点</t>
    <phoneticPr fontId="50" type="noConversion"/>
  </si>
  <si>
    <t>迷宮第8層</t>
    <phoneticPr fontId="7" type="noConversion"/>
  </si>
  <si>
    <t>国服悬赏任务名为“消灭致命蛰刺”</t>
    <phoneticPr fontId="7" type="noConversion"/>
  </si>
  <si>
    <t>国服悬赏任务名为“消灭莱哈”</t>
    <phoneticPr fontId="7" type="noConversion"/>
  </si>
  <si>
    <t>迷宫一层</t>
    <phoneticPr fontId="20" type="noConversion"/>
  </si>
  <si>
    <t>迷宮二层</t>
    <phoneticPr fontId="20" type="noConversion"/>
  </si>
  <si>
    <t>迷宫三层</t>
    <phoneticPr fontId="20" type="noConversion"/>
  </si>
  <si>
    <t>迷宫四层</t>
    <phoneticPr fontId="20" type="noConversion"/>
  </si>
  <si>
    <t>迷宫五层</t>
    <phoneticPr fontId="20" type="noConversion"/>
  </si>
  <si>
    <t>迷宫六层</t>
    <phoneticPr fontId="20" type="noConversion"/>
  </si>
  <si>
    <t>迷宫七层</t>
    <phoneticPr fontId="20" type="noConversion"/>
  </si>
  <si>
    <t>迷宫八层</t>
    <phoneticPr fontId="20" type="noConversion"/>
  </si>
  <si>
    <t>迷宫九层</t>
    <phoneticPr fontId="20" type="noConversion"/>
  </si>
  <si>
    <t>迷宫十层</t>
    <phoneticPr fontId="20" type="noConversion"/>
  </si>
  <si>
    <t>迷宫十一层</t>
    <phoneticPr fontId="20" type="noConversion"/>
  </si>
  <si>
    <t>迷宫十二层</t>
    <phoneticPr fontId="20" type="noConversion"/>
  </si>
  <si>
    <t>迷宫十三层</t>
    <phoneticPr fontId="20" type="noConversion"/>
  </si>
  <si>
    <t>迷宫十四层</t>
    <phoneticPr fontId="20" type="noConversion"/>
  </si>
  <si>
    <t>迷宫十五层</t>
    <phoneticPr fontId="20" type="noConversion"/>
  </si>
  <si>
    <t>迷宫十六层</t>
    <phoneticPr fontId="20" type="noConversion"/>
  </si>
  <si>
    <t>不洁祭坛</t>
    <phoneticPr fontId="20" type="noConversion"/>
  </si>
  <si>
    <t>☆数据暂缺☆</t>
    <phoneticPr fontId="20" type="noConversion"/>
  </si>
  <si>
    <t>冰之夜翼</t>
    <phoneticPr fontId="20" type="noConversion"/>
  </si>
  <si>
    <t>邪触</t>
    <phoneticPr fontId="20" type="noConversion"/>
  </si>
  <si>
    <t>污泥男爵</t>
    <phoneticPr fontId="20" type="noConversion"/>
  </si>
  <si>
    <t>影鸦</t>
    <phoneticPr fontId="20" type="noConversion"/>
  </si>
  <si>
    <t>邪翼</t>
    <phoneticPr fontId="20" type="noConversion"/>
  </si>
  <si>
    <t>死亡之影·肉锤</t>
    <phoneticPr fontId="20" type="noConversion"/>
  </si>
  <si>
    <t>病角·钢锤</t>
    <phoneticPr fontId="20" type="noConversion"/>
  </si>
  <si>
    <t>血肉石</t>
    <phoneticPr fontId="20" type="noConversion"/>
  </si>
  <si>
    <t>维兹尔</t>
    <phoneticPr fontId="20" type="noConversion"/>
  </si>
  <si>
    <t>蓝角</t>
    <phoneticPr fontId="20" type="noConversion"/>
  </si>
  <si>
    <t>火伤·凶魔</t>
    <phoneticPr fontId="20" type="noConversion"/>
  </si>
  <si>
    <t>狮颅</t>
    <phoneticPr fontId="20" type="noConversion"/>
  </si>
  <si>
    <t>骨锈编织着</t>
    <phoneticPr fontId="20" type="noConversion"/>
  </si>
  <si>
    <t>鲜血战神</t>
    <phoneticPr fontId="20" type="noConversion"/>
  </si>
  <si>
    <t>疯眼·亡魂</t>
    <phoneticPr fontId="20" type="noConversion"/>
  </si>
  <si>
    <t>蟠蛇牙</t>
    <phoneticPr fontId="20" type="noConversion"/>
  </si>
  <si>
    <t>巫月</t>
    <phoneticPr fontId="20" type="noConversion"/>
  </si>
  <si>
    <t>红色暴戾</t>
    <phoneticPr fontId="20" type="noConversion"/>
  </si>
  <si>
    <t>破碎风暴</t>
    <phoneticPr fontId="20" type="noConversion"/>
  </si>
  <si>
    <t>影咬</t>
    <phoneticPr fontId="20" type="noConversion"/>
  </si>
  <si>
    <t>火之金翼</t>
    <phoneticPr fontId="20" type="noConversion"/>
  </si>
  <si>
    <t>拜弗洛斯·深渊领主</t>
    <phoneticPr fontId="20" type="noConversion"/>
  </si>
  <si>
    <t>渗脓</t>
    <phoneticPr fontId="20" type="noConversion"/>
  </si>
  <si>
    <t>鼻屎</t>
    <phoneticPr fontId="20" type="noConversion"/>
  </si>
  <si>
    <t>虚弱的贾巴德</t>
    <phoneticPr fontId="20" type="noConversion"/>
  </si>
  <si>
    <t>刨脏</t>
    <phoneticPr fontId="20" type="noConversion"/>
  </si>
  <si>
    <t>血皮·暗弓</t>
    <phoneticPr fontId="20" type="noConversion"/>
  </si>
  <si>
    <t>疯狂的扎尔</t>
    <phoneticPr fontId="20" type="noConversion"/>
  </si>
  <si>
    <t>断脊</t>
    <phoneticPr fontId="20" type="noConversion"/>
  </si>
  <si>
    <t>黑色风暴</t>
    <phoneticPr fontId="20" type="noConversion"/>
  </si>
  <si>
    <t>碎颅·猛盾</t>
    <phoneticPr fontId="20" type="noConversion"/>
  </si>
  <si>
    <t>格雷沃·屠杀者</t>
    <phoneticPr fontId="20" type="noConversion"/>
  </si>
  <si>
    <t>钢颅·猎杀者</t>
    <phoneticPr fontId="20" type="noConversion"/>
  </si>
  <si>
    <t>格拉什爵士</t>
    <phoneticPr fontId="20" type="noConversion"/>
  </si>
  <si>
    <t>黑灰·火躯</t>
    <phoneticPr fontId="20" type="noConversion"/>
  </si>
  <si>
    <t>毒焰</t>
    <phoneticPr fontId="20" type="noConversion"/>
  </si>
  <si>
    <t>黑玉</t>
    <phoneticPr fontId="20" type="noConversion"/>
  </si>
  <si>
    <t>星眼·女魔</t>
    <phoneticPr fontId="20" type="noConversion"/>
  </si>
  <si>
    <t>扒皮</t>
    <phoneticPr fontId="20" type="noConversion"/>
  </si>
  <si>
    <t>饥饿的食腐狂</t>
    <phoneticPr fontId="20" type="noConversion"/>
  </si>
  <si>
    <t>冒险的英雄 镇民的勇士 崔斯特姆保护者</t>
    <phoneticPr fontId="20" type="noConversion"/>
  </si>
  <si>
    <t>2017.1.6</t>
    <phoneticPr fontId="50" type="noConversion"/>
  </si>
  <si>
    <t>　　暗黑3成就群（205986709）荣誉出品，第二十三次修订，2017年1月6日发布。</t>
    <phoneticPr fontId="12" type="noConversion"/>
  </si>
  <si>
    <t>国服</t>
    <phoneticPr fontId="12" type="noConversion"/>
  </si>
  <si>
    <t>死月挂天上@凯恩之角</t>
    <phoneticPr fontId="12" type="noConversion"/>
  </si>
  <si>
    <t>繁體中文</t>
  </si>
  <si>
    <t>1.隐蔽宝库 进去之后地图很小 有几个普通箱子 一个华丽的箱子 怪很少 有一个金名怪 算是收益最丰富的一种可能了</t>
  </si>
  <si>
    <t>2.飞禽巢穴 很有爱的地方 里面都是小白鸡 最里面有只白色的小怪 可惜没看清是啥就被我K掉了 爆东西和一个华丽箱子差不多</t>
  </si>
  <si>
    <t>3.华丽的箱子</t>
  </si>
  <si>
    <t>4.普通的箱子</t>
  </si>
  <si>
    <t>5.宝库守卫 是一个金名的沙居岩像</t>
  </si>
  <si>
    <t>6.一堆骷髅 其中有一只是金名的 不过杀了什么奖励也没有</t>
  </si>
  <si>
    <t>7.一团虫子 都是普通的</t>
  </si>
  <si>
    <t>8.一个尸堆</t>
  </si>
  <si>
    <t>9.金币 爆个5秒左右的金币 收益还是不错的</t>
  </si>
  <si>
    <t>10.一个古瓷 打破了啥也没有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</si>
</sst>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6"/>
      <name val="宋体"/>
      <family val="3"/>
      <charset val="134"/>
    </font>
    <font>
      <sz val="10"/>
      <name val="MingLiU"/>
      <family val="3"/>
      <charset val="136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MingLiU"/>
      <family val="3"/>
      <charset val="136"/>
    </font>
    <font>
      <sz val="11"/>
      <name val="宋体"/>
      <family val="3"/>
      <charset val="134"/>
    </font>
    <font>
      <sz val="11"/>
      <name val="MingLiU"/>
      <family val="3"/>
      <charset val="136"/>
    </font>
    <font>
      <b/>
      <sz val="10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0"/>
      <name val="微软雅黑"/>
      <family val="2"/>
      <charset val="134"/>
    </font>
    <font>
      <b/>
      <sz val="16"/>
      <color theme="8" tint="-0.249977111117893"/>
      <name val="宋体"/>
      <family val="3"/>
      <charset val="134"/>
    </font>
    <font>
      <b/>
      <sz val="16"/>
      <color theme="9" tint="-0.249977111117893"/>
      <name val="宋体"/>
      <family val="3"/>
      <charset val="134"/>
    </font>
    <font>
      <b/>
      <sz val="12"/>
      <color rgb="FF7030A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2"/>
      <name val="宋体"/>
      <family val="3"/>
      <charset val="134"/>
      <scheme val="minor"/>
    </font>
    <font>
      <b/>
      <sz val="16"/>
      <color rgb="FFFFFF00"/>
      <name val="宋体"/>
      <family val="3"/>
      <charset val="134"/>
    </font>
    <font>
      <b/>
      <sz val="16"/>
      <color rgb="FF00B0F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rgb="FF2F1704"/>
      <name val="微软雅黑"/>
      <family val="2"/>
      <charset val="134"/>
    </font>
    <font>
      <b/>
      <sz val="11"/>
      <color rgb="FF2F1704"/>
      <name val="微软雅黑"/>
      <family val="2"/>
      <charset val="134"/>
    </font>
    <font>
      <sz val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6"/>
      <color theme="8" tint="-0.249977111117893"/>
      <name val="微软雅黑"/>
      <family val="2"/>
      <charset val="134"/>
    </font>
    <font>
      <b/>
      <sz val="16"/>
      <color theme="7" tint="-0.249977111117893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6"/>
      <color rgb="FF00206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6"/>
      <color indexed="56"/>
      <name val="微软雅黑"/>
      <family val="2"/>
      <charset val="134"/>
    </font>
    <font>
      <b/>
      <sz val="16"/>
      <color rgb="FFFFFF00"/>
      <name val="微软雅黑"/>
      <family val="2"/>
      <charset val="134"/>
    </font>
    <font>
      <b/>
      <sz val="16"/>
      <color rgb="FF00B0F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2F1704"/>
      <name val="微软雅黑"/>
      <family val="2"/>
      <charset val="134"/>
    </font>
    <font>
      <b/>
      <sz val="10"/>
      <color rgb="FFFFFF00"/>
      <name val="微软雅黑"/>
      <family val="2"/>
      <charset val="134"/>
    </font>
    <font>
      <b/>
      <sz val="10"/>
      <color rgb="FFFF00FF"/>
      <name val="微软雅黑"/>
      <family val="2"/>
      <charset val="134"/>
    </font>
    <font>
      <b/>
      <sz val="10"/>
      <color rgb="FF00FFFF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color rgb="FFFF8C00"/>
      <name val="微软雅黑"/>
      <family val="2"/>
      <charset val="134"/>
    </font>
    <font>
      <b/>
      <sz val="10"/>
      <color theme="3" tint="0.39997558519241921"/>
      <name val="微软雅黑"/>
      <family val="2"/>
      <charset val="134"/>
    </font>
    <font>
      <b/>
      <sz val="10"/>
      <color rgb="FF0070C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u/>
      <sz val="12"/>
      <color theme="7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7" tint="-0.249977111117893"/>
      <name val="微软雅黑"/>
      <family val="2"/>
      <charset val="134"/>
    </font>
    <font>
      <b/>
      <sz val="10"/>
      <color rgb="FF00B050"/>
      <name val="微软雅黑"/>
      <family val="2"/>
      <charset val="134"/>
    </font>
    <font>
      <sz val="10"/>
      <color rgb="FF0070C0"/>
      <name val="微软雅黑"/>
      <family val="2"/>
      <charset val="134"/>
    </font>
    <font>
      <sz val="10"/>
      <color rgb="FF00B050"/>
      <name val="微软雅黑"/>
      <family val="2"/>
      <charset val="134"/>
    </font>
    <font>
      <sz val="10"/>
      <color theme="9" tint="-0.499984740745262"/>
      <name val="微软雅黑"/>
      <family val="2"/>
      <charset val="134"/>
    </font>
    <font>
      <sz val="10"/>
      <color theme="7" tint="-0.249977111117893"/>
      <name val="微软雅黑"/>
      <family val="2"/>
      <charset val="134"/>
    </font>
    <font>
      <sz val="10"/>
      <color theme="8" tint="-0.249977111117893"/>
      <name val="微软雅黑"/>
      <family val="2"/>
      <charset val="134"/>
    </font>
    <font>
      <sz val="10"/>
      <color theme="9" tint="-0.249977111117893"/>
      <name val="微软雅黑"/>
      <family val="2"/>
      <charset val="134"/>
    </font>
    <font>
      <b/>
      <sz val="10"/>
      <color theme="9" tint="-0.249977111117893"/>
      <name val="微软雅黑"/>
      <family val="2"/>
      <charset val="134"/>
    </font>
    <font>
      <b/>
      <sz val="12"/>
      <color rgb="FF00B050"/>
      <name val="微软雅黑"/>
      <family val="2"/>
      <charset val="134"/>
    </font>
    <font>
      <sz val="10"/>
      <color theme="7" tint="-0.249977111117893"/>
      <name val="Malgun Gothic Semilight"/>
      <family val="2"/>
      <charset val="134"/>
    </font>
    <font>
      <sz val="10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u/>
      <sz val="10"/>
      <color theme="10"/>
      <name val="微软雅黑"/>
      <family val="2"/>
      <charset val="134"/>
    </font>
    <font>
      <b/>
      <u/>
      <sz val="12"/>
      <color rgb="FF8064A2"/>
      <name val="微软雅黑"/>
      <family val="2"/>
      <charset val="134"/>
    </font>
    <font>
      <sz val="9"/>
      <color rgb="FF33333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39997558519241921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ck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6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44">
    <xf numFmtId="0" fontId="0" fillId="0" borderId="0" xfId="0">
      <alignment vertical="center"/>
    </xf>
    <xf numFmtId="0" fontId="11" fillId="0" borderId="0" xfId="0" applyFont="1">
      <alignment vertical="center"/>
    </xf>
    <xf numFmtId="0" fontId="37" fillId="4" borderId="1" xfId="0" applyFont="1" applyFill="1" applyBorder="1">
      <alignment vertical="center"/>
    </xf>
    <xf numFmtId="0" fontId="37" fillId="4" borderId="2" xfId="0" applyFont="1" applyFill="1" applyBorder="1">
      <alignment vertical="center"/>
    </xf>
    <xf numFmtId="0" fontId="37" fillId="4" borderId="3" xfId="0" applyFont="1" applyFill="1" applyBorder="1">
      <alignment vertical="center"/>
    </xf>
    <xf numFmtId="0" fontId="37" fillId="4" borderId="4" xfId="0" applyFont="1" applyFill="1" applyBorder="1">
      <alignment vertical="center"/>
    </xf>
    <xf numFmtId="0" fontId="8" fillId="5" borderId="5" xfId="0" applyFont="1" applyFill="1" applyBorder="1">
      <alignment vertical="center"/>
    </xf>
    <xf numFmtId="0" fontId="8" fillId="5" borderId="5" xfId="0" applyFont="1" applyFill="1" applyBorder="1" applyAlignment="1">
      <alignment vertical="center" wrapText="1"/>
    </xf>
    <xf numFmtId="0" fontId="37" fillId="4" borderId="6" xfId="0" applyFont="1" applyFill="1" applyBorder="1">
      <alignment vertical="center"/>
    </xf>
    <xf numFmtId="0" fontId="37" fillId="4" borderId="7" xfId="0" applyFont="1" applyFill="1" applyBorder="1">
      <alignment vertical="center"/>
    </xf>
    <xf numFmtId="0" fontId="17" fillId="5" borderId="8" xfId="0" applyFont="1" applyFill="1" applyBorder="1">
      <alignment vertical="center"/>
    </xf>
    <xf numFmtId="0" fontId="8" fillId="5" borderId="9" xfId="0" applyFont="1" applyFill="1" applyBorder="1">
      <alignment vertical="center"/>
    </xf>
    <xf numFmtId="0" fontId="8" fillId="5" borderId="10" xfId="0" applyFont="1" applyFill="1" applyBorder="1">
      <alignment vertical="center"/>
    </xf>
    <xf numFmtId="0" fontId="17" fillId="5" borderId="11" xfId="0" applyFont="1" applyFill="1" applyBorder="1">
      <alignment vertical="center"/>
    </xf>
    <xf numFmtId="0" fontId="8" fillId="5" borderId="12" xfId="0" applyFont="1" applyFill="1" applyBorder="1">
      <alignment vertical="center"/>
    </xf>
    <xf numFmtId="0" fontId="8" fillId="5" borderId="12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0" fontId="37" fillId="4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11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8" fillId="5" borderId="5" xfId="0" applyFont="1" applyFill="1" applyBorder="1" applyAlignment="1">
      <alignment vertical="center" wrapText="1"/>
    </xf>
    <xf numFmtId="0" fontId="18" fillId="5" borderId="12" xfId="0" applyFont="1" applyFill="1" applyBorder="1" applyAlignment="1">
      <alignment vertical="center" wrapText="1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36" fillId="0" borderId="0" xfId="0" applyFont="1">
      <alignment vertical="center"/>
    </xf>
    <xf numFmtId="0" fontId="22" fillId="6" borderId="0" xfId="2" applyFont="1" applyFill="1" applyAlignment="1">
      <alignment horizontal="left" vertical="center"/>
    </xf>
    <xf numFmtId="0" fontId="22" fillId="7" borderId="0" xfId="2" applyFont="1" applyFill="1" applyAlignment="1">
      <alignment horizontal="left" vertical="center"/>
    </xf>
    <xf numFmtId="0" fontId="22" fillId="8" borderId="0" xfId="2" applyFont="1" applyFill="1" applyAlignment="1">
      <alignment horizontal="left" vertical="center"/>
    </xf>
    <xf numFmtId="0" fontId="22" fillId="9" borderId="0" xfId="2" applyFont="1" applyFill="1" applyAlignment="1">
      <alignment horizontal="left" vertical="center"/>
    </xf>
    <xf numFmtId="0" fontId="22" fillId="9" borderId="0" xfId="2" applyFont="1" applyFill="1">
      <alignment vertical="center"/>
    </xf>
    <xf numFmtId="0" fontId="22" fillId="9" borderId="0" xfId="2" applyFont="1" applyFill="1" applyAlignment="1">
      <alignment vertical="center" wrapText="1"/>
    </xf>
    <xf numFmtId="0" fontId="22" fillId="9" borderId="0" xfId="0" applyFont="1" applyFill="1">
      <alignment vertical="center"/>
    </xf>
    <xf numFmtId="0" fontId="22" fillId="9" borderId="0" xfId="0" applyFont="1" applyFill="1" applyAlignment="1">
      <alignment horizontal="left" vertical="center"/>
    </xf>
    <xf numFmtId="0" fontId="22" fillId="8" borderId="0" xfId="2" applyFont="1" applyFill="1">
      <alignment vertical="center"/>
    </xf>
    <xf numFmtId="0" fontId="22" fillId="8" borderId="0" xfId="2" applyFont="1" applyFill="1" applyAlignment="1">
      <alignment vertical="center" wrapText="1"/>
    </xf>
    <xf numFmtId="0" fontId="22" fillId="8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/>
    </xf>
    <xf numFmtId="0" fontId="22" fillId="6" borderId="0" xfId="2" applyFont="1" applyFill="1">
      <alignment vertical="center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>
      <alignment vertical="center"/>
    </xf>
    <xf numFmtId="0" fontId="22" fillId="0" borderId="0" xfId="0" applyFont="1">
      <alignment vertical="center"/>
    </xf>
    <xf numFmtId="0" fontId="24" fillId="9" borderId="0" xfId="0" applyFont="1" applyFill="1">
      <alignment vertical="center"/>
    </xf>
    <xf numFmtId="0" fontId="24" fillId="8" borderId="0" xfId="0" applyFont="1" applyFill="1">
      <alignment vertical="center"/>
    </xf>
    <xf numFmtId="0" fontId="24" fillId="7" borderId="0" xfId="0" applyFont="1" applyFill="1">
      <alignment vertical="center"/>
    </xf>
    <xf numFmtId="0" fontId="24" fillId="6" borderId="0" xfId="0" applyFont="1" applyFill="1">
      <alignment vertical="center"/>
    </xf>
    <xf numFmtId="0" fontId="22" fillId="8" borderId="0" xfId="0" applyFont="1" applyFill="1">
      <alignment vertical="center"/>
    </xf>
    <xf numFmtId="0" fontId="22" fillId="7" borderId="0" xfId="0" applyFont="1" applyFill="1">
      <alignment vertical="center"/>
    </xf>
    <xf numFmtId="0" fontId="25" fillId="0" borderId="0" xfId="0" applyFont="1">
      <alignment vertical="center"/>
    </xf>
    <xf numFmtId="0" fontId="8" fillId="9" borderId="0" xfId="2" applyFont="1" applyFill="1" applyAlignment="1">
      <alignment horizontal="left" vertical="center"/>
    </xf>
    <xf numFmtId="0" fontId="8" fillId="8" borderId="0" xfId="2" applyFont="1" applyFill="1" applyAlignment="1">
      <alignment horizontal="left" vertical="center"/>
    </xf>
    <xf numFmtId="0" fontId="8" fillId="9" borderId="0" xfId="0" applyFont="1" applyFill="1">
      <alignment vertical="center"/>
    </xf>
    <xf numFmtId="0" fontId="8" fillId="6" borderId="0" xfId="0" applyFont="1" applyFill="1">
      <alignment vertical="center"/>
    </xf>
    <xf numFmtId="0" fontId="8" fillId="6" borderId="0" xfId="2" applyFont="1" applyFill="1" applyAlignment="1">
      <alignment horizontal="left" vertical="center"/>
    </xf>
    <xf numFmtId="0" fontId="8" fillId="7" borderId="0" xfId="2" applyFont="1" applyFill="1" applyAlignment="1">
      <alignment horizontal="left" vertical="center"/>
    </xf>
    <xf numFmtId="0" fontId="8" fillId="6" borderId="0" xfId="2" applyFont="1" applyFill="1">
      <alignment vertical="center"/>
    </xf>
    <xf numFmtId="0" fontId="32" fillId="0" borderId="0" xfId="0" applyFont="1">
      <alignment vertical="center"/>
    </xf>
    <xf numFmtId="0" fontId="29" fillId="0" borderId="0" xfId="0" applyFont="1">
      <alignment vertical="center"/>
    </xf>
    <xf numFmtId="0" fontId="32" fillId="6" borderId="0" xfId="0" applyFont="1" applyFill="1">
      <alignment vertical="center"/>
    </xf>
    <xf numFmtId="0" fontId="32" fillId="6" borderId="0" xfId="2" applyFont="1" applyFill="1" applyAlignment="1">
      <alignment horizontal="left" vertical="center"/>
    </xf>
    <xf numFmtId="0" fontId="32" fillId="9" borderId="0" xfId="0" applyFont="1" applyFill="1">
      <alignment vertical="center"/>
    </xf>
    <xf numFmtId="0" fontId="33" fillId="0" borderId="0" xfId="0" applyFont="1">
      <alignment vertical="center"/>
    </xf>
    <xf numFmtId="0" fontId="32" fillId="9" borderId="0" xfId="2" applyFont="1" applyFill="1" applyAlignment="1">
      <alignment horizontal="left" vertical="center"/>
    </xf>
    <xf numFmtId="0" fontId="32" fillId="8" borderId="0" xfId="0" applyFont="1" applyFill="1">
      <alignment vertical="center"/>
    </xf>
    <xf numFmtId="0" fontId="22" fillId="16" borderId="0" xfId="0" applyFont="1" applyFill="1">
      <alignment vertical="center"/>
    </xf>
    <xf numFmtId="0" fontId="32" fillId="16" borderId="0" xfId="0" applyFont="1" applyFill="1">
      <alignment vertical="center"/>
    </xf>
    <xf numFmtId="0" fontId="32" fillId="7" borderId="0" xfId="2" applyFont="1" applyFill="1" applyAlignment="1">
      <alignment horizontal="left" vertical="center"/>
    </xf>
    <xf numFmtId="0" fontId="32" fillId="7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0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41" fillId="12" borderId="0" xfId="0" applyFont="1" applyFill="1">
      <alignment vertical="center"/>
    </xf>
    <xf numFmtId="0" fontId="42" fillId="0" borderId="0" xfId="0" applyFont="1">
      <alignment vertical="center"/>
    </xf>
    <xf numFmtId="0" fontId="13" fillId="0" borderId="0" xfId="0" applyFont="1">
      <alignment vertical="center"/>
    </xf>
    <xf numFmtId="0" fontId="14" fillId="9" borderId="5" xfId="0" applyFont="1" applyFill="1" applyBorder="1">
      <alignment vertical="center"/>
    </xf>
    <xf numFmtId="0" fontId="13" fillId="9" borderId="5" xfId="0" applyFont="1" applyFill="1" applyBorder="1">
      <alignment vertical="center"/>
    </xf>
    <xf numFmtId="0" fontId="13" fillId="9" borderId="10" xfId="0" applyFont="1" applyFill="1" applyBorder="1" applyAlignment="1">
      <alignment vertical="center" wrapText="1"/>
    </xf>
    <xf numFmtId="0" fontId="14" fillId="9" borderId="40" xfId="0" applyFont="1" applyFill="1" applyBorder="1" applyAlignment="1">
      <alignment vertical="center" wrapText="1"/>
    </xf>
    <xf numFmtId="0" fontId="13" fillId="9" borderId="10" xfId="0" applyFont="1" applyFill="1" applyBorder="1">
      <alignment vertical="center"/>
    </xf>
    <xf numFmtId="0" fontId="14" fillId="9" borderId="40" xfId="0" applyFont="1" applyFill="1" applyBorder="1">
      <alignment vertical="center"/>
    </xf>
    <xf numFmtId="0" fontId="14" fillId="9" borderId="12" xfId="0" applyFont="1" applyFill="1" applyBorder="1">
      <alignment vertical="center"/>
    </xf>
    <xf numFmtId="0" fontId="13" fillId="9" borderId="12" xfId="0" applyFont="1" applyFill="1" applyBorder="1">
      <alignment vertical="center"/>
    </xf>
    <xf numFmtId="0" fontId="13" fillId="9" borderId="13" xfId="0" applyFont="1" applyFill="1" applyBorder="1" applyAlignment="1">
      <alignment vertical="center" wrapText="1"/>
    </xf>
    <xf numFmtId="0" fontId="14" fillId="9" borderId="42" xfId="0" applyFont="1" applyFill="1" applyBorder="1">
      <alignment vertical="center"/>
    </xf>
    <xf numFmtId="0" fontId="14" fillId="8" borderId="21" xfId="0" applyFont="1" applyFill="1" applyBorder="1">
      <alignment vertical="center"/>
    </xf>
    <xf numFmtId="0" fontId="13" fillId="8" borderId="21" xfId="0" applyFont="1" applyFill="1" applyBorder="1">
      <alignment vertical="center"/>
    </xf>
    <xf numFmtId="0" fontId="13" fillId="8" borderId="9" xfId="0" applyFont="1" applyFill="1" applyBorder="1">
      <alignment vertical="center"/>
    </xf>
    <xf numFmtId="0" fontId="14" fillId="8" borderId="49" xfId="0" applyFont="1" applyFill="1" applyBorder="1">
      <alignment vertical="center"/>
    </xf>
    <xf numFmtId="0" fontId="13" fillId="8" borderId="9" xfId="0" applyFont="1" applyFill="1" applyBorder="1" applyAlignment="1">
      <alignment vertical="center" wrapText="1"/>
    </xf>
    <xf numFmtId="0" fontId="14" fillId="8" borderId="5" xfId="0" applyFont="1" applyFill="1" applyBorder="1">
      <alignment vertical="center"/>
    </xf>
    <xf numFmtId="0" fontId="13" fillId="8" borderId="5" xfId="0" applyFont="1" applyFill="1" applyBorder="1">
      <alignment vertical="center"/>
    </xf>
    <xf numFmtId="0" fontId="13" fillId="8" borderId="10" xfId="0" applyFont="1" applyFill="1" applyBorder="1" applyAlignment="1">
      <alignment vertical="center" wrapText="1"/>
    </xf>
    <xf numFmtId="0" fontId="14" fillId="8" borderId="40" xfId="0" applyFont="1" applyFill="1" applyBorder="1">
      <alignment vertical="center"/>
    </xf>
    <xf numFmtId="0" fontId="13" fillId="8" borderId="10" xfId="0" applyFont="1" applyFill="1" applyBorder="1">
      <alignment vertical="center"/>
    </xf>
    <xf numFmtId="0" fontId="14" fillId="8" borderId="12" xfId="0" applyFont="1" applyFill="1" applyBorder="1">
      <alignment vertical="center"/>
    </xf>
    <xf numFmtId="0" fontId="13" fillId="8" borderId="12" xfId="0" applyFont="1" applyFill="1" applyBorder="1">
      <alignment vertical="center"/>
    </xf>
    <xf numFmtId="0" fontId="13" fillId="8" borderId="13" xfId="0" applyFont="1" applyFill="1" applyBorder="1" applyAlignment="1">
      <alignment vertical="center" wrapText="1"/>
    </xf>
    <xf numFmtId="0" fontId="14" fillId="8" borderId="42" xfId="0" applyFont="1" applyFill="1" applyBorder="1">
      <alignment vertical="center"/>
    </xf>
    <xf numFmtId="0" fontId="13" fillId="8" borderId="13" xfId="0" applyFont="1" applyFill="1" applyBorder="1">
      <alignment vertical="center"/>
    </xf>
    <xf numFmtId="0" fontId="14" fillId="13" borderId="2" xfId="0" applyFont="1" applyFill="1" applyBorder="1">
      <alignment vertical="center"/>
    </xf>
    <xf numFmtId="0" fontId="13" fillId="13" borderId="2" xfId="0" applyFont="1" applyFill="1" applyBorder="1">
      <alignment vertical="center"/>
    </xf>
    <xf numFmtId="0" fontId="13" fillId="13" borderId="3" xfId="0" applyFont="1" applyFill="1" applyBorder="1">
      <alignment vertical="center"/>
    </xf>
    <xf numFmtId="0" fontId="14" fillId="13" borderId="49" xfId="0" applyFont="1" applyFill="1" applyBorder="1" applyAlignment="1">
      <alignment horizontal="left" vertical="center"/>
    </xf>
    <xf numFmtId="0" fontId="13" fillId="13" borderId="21" xfId="0" applyFont="1" applyFill="1" applyBorder="1" applyAlignment="1">
      <alignment horizontal="left" vertical="center"/>
    </xf>
    <xf numFmtId="0" fontId="13" fillId="13" borderId="9" xfId="0" applyFont="1" applyFill="1" applyBorder="1" applyAlignment="1">
      <alignment horizontal="left" vertical="center"/>
    </xf>
    <xf numFmtId="0" fontId="14" fillId="13" borderId="21" xfId="0" applyFont="1" applyFill="1" applyBorder="1" applyAlignment="1">
      <alignment horizontal="left" vertical="center"/>
    </xf>
    <xf numFmtId="0" fontId="13" fillId="13" borderId="9" xfId="0" applyFont="1" applyFill="1" applyBorder="1">
      <alignment vertical="center"/>
    </xf>
    <xf numFmtId="0" fontId="14" fillId="13" borderId="40" xfId="0" applyFont="1" applyFill="1" applyBorder="1" applyAlignment="1">
      <alignment horizontal="left" vertical="center"/>
    </xf>
    <xf numFmtId="0" fontId="13" fillId="13" borderId="5" xfId="0" applyFont="1" applyFill="1" applyBorder="1" applyAlignment="1">
      <alignment horizontal="left" vertical="center"/>
    </xf>
    <xf numFmtId="0" fontId="13" fillId="13" borderId="10" xfId="0" applyFont="1" applyFill="1" applyBorder="1">
      <alignment vertical="center"/>
    </xf>
    <xf numFmtId="0" fontId="14" fillId="13" borderId="5" xfId="0" applyFont="1" applyFill="1" applyBorder="1" applyAlignment="1">
      <alignment horizontal="left" vertical="center"/>
    </xf>
    <xf numFmtId="0" fontId="13" fillId="13" borderId="10" xfId="0" applyFont="1" applyFill="1" applyBorder="1" applyAlignment="1">
      <alignment horizontal="left" vertical="center"/>
    </xf>
    <xf numFmtId="0" fontId="14" fillId="13" borderId="12" xfId="0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left" vertical="center"/>
    </xf>
    <xf numFmtId="0" fontId="13" fillId="13" borderId="13" xfId="0" applyFont="1" applyFill="1" applyBorder="1" applyAlignment="1">
      <alignment horizontal="left" vertical="center" wrapText="1"/>
    </xf>
    <xf numFmtId="0" fontId="14" fillId="13" borderId="11" xfId="0" applyFont="1" applyFill="1" applyBorder="1" applyAlignment="1">
      <alignment horizontal="left" vertical="center"/>
    </xf>
    <xf numFmtId="0" fontId="14" fillId="6" borderId="14" xfId="0" applyFont="1" applyFill="1" applyBorder="1">
      <alignment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16" xfId="0" applyFont="1" applyFill="1" applyBorder="1" applyAlignment="1">
      <alignment horizontal="left" vertical="center" wrapText="1"/>
    </xf>
    <xf numFmtId="0" fontId="14" fillId="6" borderId="37" xfId="0" applyFont="1" applyFill="1" applyBorder="1">
      <alignment vertical="center"/>
    </xf>
    <xf numFmtId="0" fontId="14" fillId="6" borderId="8" xfId="0" applyFont="1" applyFill="1" applyBorder="1">
      <alignment vertical="center"/>
    </xf>
    <xf numFmtId="0" fontId="13" fillId="6" borderId="5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 wrapText="1"/>
    </xf>
    <xf numFmtId="0" fontId="14" fillId="6" borderId="40" xfId="0" applyFont="1" applyFill="1" applyBorder="1">
      <alignment vertical="center"/>
    </xf>
    <xf numFmtId="0" fontId="14" fillId="6" borderId="56" xfId="0" applyFont="1" applyFill="1" applyBorder="1">
      <alignment vertical="center"/>
    </xf>
    <xf numFmtId="0" fontId="13" fillId="6" borderId="20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 wrapText="1"/>
    </xf>
    <xf numFmtId="0" fontId="14" fillId="6" borderId="11" xfId="0" applyFont="1" applyFill="1" applyBorder="1">
      <alignment vertical="center"/>
    </xf>
    <xf numFmtId="0" fontId="13" fillId="6" borderId="12" xfId="0" applyFont="1" applyFill="1" applyBorder="1" applyAlignment="1">
      <alignment horizontal="left" vertical="center"/>
    </xf>
    <xf numFmtId="0" fontId="13" fillId="6" borderId="13" xfId="0" applyFont="1" applyFill="1" applyBorder="1" applyAlignment="1">
      <alignment horizontal="left" vertical="center" wrapText="1"/>
    </xf>
    <xf numFmtId="0" fontId="0" fillId="0" borderId="57" xfId="0" applyBorder="1">
      <alignment vertical="center"/>
    </xf>
    <xf numFmtId="0" fontId="13" fillId="0" borderId="57" xfId="0" applyFont="1" applyBorder="1" applyAlignment="1">
      <alignment horizontal="left" vertical="center"/>
    </xf>
    <xf numFmtId="0" fontId="14" fillId="9" borderId="14" xfId="0" applyFont="1" applyFill="1" applyBorder="1">
      <alignment vertical="center"/>
    </xf>
    <xf numFmtId="0" fontId="13" fillId="9" borderId="15" xfId="0" applyFont="1" applyFill="1" applyBorder="1">
      <alignment vertical="center"/>
    </xf>
    <xf numFmtId="0" fontId="13" fillId="9" borderId="16" xfId="0" applyFont="1" applyFill="1" applyBorder="1">
      <alignment vertical="center"/>
    </xf>
    <xf numFmtId="0" fontId="14" fillId="9" borderId="37" xfId="0" applyFont="1" applyFill="1" applyBorder="1">
      <alignment vertical="center"/>
    </xf>
    <xf numFmtId="0" fontId="14" fillId="9" borderId="8" xfId="0" applyFont="1" applyFill="1" applyBorder="1">
      <alignment vertical="center"/>
    </xf>
    <xf numFmtId="0" fontId="14" fillId="9" borderId="11" xfId="0" applyFont="1" applyFill="1" applyBorder="1">
      <alignment vertical="center"/>
    </xf>
    <xf numFmtId="0" fontId="14" fillId="8" borderId="14" xfId="0" applyFont="1" applyFill="1" applyBorder="1">
      <alignment vertical="center"/>
    </xf>
    <xf numFmtId="0" fontId="13" fillId="8" borderId="15" xfId="0" applyFont="1" applyFill="1" applyBorder="1">
      <alignment vertical="center"/>
    </xf>
    <xf numFmtId="0" fontId="13" fillId="8" borderId="16" xfId="0" applyFont="1" applyFill="1" applyBorder="1" applyAlignment="1">
      <alignment vertical="center" wrapText="1"/>
    </xf>
    <xf numFmtId="0" fontId="14" fillId="8" borderId="8" xfId="0" applyFont="1" applyFill="1" applyBorder="1">
      <alignment vertical="center"/>
    </xf>
    <xf numFmtId="0" fontId="14" fillId="8" borderId="8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0" fontId="14" fillId="8" borderId="11" xfId="0" applyFont="1" applyFill="1" applyBorder="1">
      <alignment vertical="center"/>
    </xf>
    <xf numFmtId="0" fontId="14" fillId="13" borderId="1" xfId="0" applyFont="1" applyFill="1" applyBorder="1">
      <alignment vertical="center"/>
    </xf>
    <xf numFmtId="0" fontId="14" fillId="13" borderId="9" xfId="0" applyFont="1" applyFill="1" applyBorder="1" applyAlignment="1">
      <alignment horizontal="left" vertical="center"/>
    </xf>
    <xf numFmtId="0" fontId="14" fillId="13" borderId="58" xfId="0" applyFont="1" applyFill="1" applyBorder="1" applyAlignment="1">
      <alignment horizontal="left" vertical="center"/>
    </xf>
    <xf numFmtId="0" fontId="13" fillId="13" borderId="9" xfId="0" applyFont="1" applyFill="1" applyBorder="1" applyAlignment="1">
      <alignment horizontal="left" vertical="center" wrapText="1"/>
    </xf>
    <xf numFmtId="0" fontId="13" fillId="13" borderId="10" xfId="0" applyFont="1" applyFill="1" applyBorder="1" applyAlignment="1">
      <alignment horizontal="left" vertical="center" wrapText="1"/>
    </xf>
    <xf numFmtId="0" fontId="13" fillId="13" borderId="13" xfId="0" applyFont="1" applyFill="1" applyBorder="1">
      <alignment vertical="center"/>
    </xf>
    <xf numFmtId="0" fontId="14" fillId="13" borderId="42" xfId="0" applyFont="1" applyFill="1" applyBorder="1" applyAlignment="1">
      <alignment horizontal="left" vertical="center"/>
    </xf>
    <xf numFmtId="0" fontId="13" fillId="13" borderId="13" xfId="0" applyFont="1" applyFill="1" applyBorder="1" applyAlignment="1">
      <alignment horizontal="left" vertical="center"/>
    </xf>
    <xf numFmtId="0" fontId="14" fillId="9" borderId="49" xfId="0" applyFont="1" applyFill="1" applyBorder="1">
      <alignment vertical="center"/>
    </xf>
    <xf numFmtId="0" fontId="13" fillId="9" borderId="21" xfId="0" applyFont="1" applyFill="1" applyBorder="1">
      <alignment vertical="center"/>
    </xf>
    <xf numFmtId="0" fontId="13" fillId="9" borderId="9" xfId="0" applyFont="1" applyFill="1" applyBorder="1" applyAlignment="1">
      <alignment vertical="center" wrapText="1"/>
    </xf>
    <xf numFmtId="0" fontId="14" fillId="9" borderId="21" xfId="0" applyFont="1" applyFill="1" applyBorder="1">
      <alignment vertical="center"/>
    </xf>
    <xf numFmtId="0" fontId="14" fillId="9" borderId="11" xfId="0" applyFont="1" applyFill="1" applyBorder="1" applyAlignment="1">
      <alignment vertical="center" wrapText="1"/>
    </xf>
    <xf numFmtId="0" fontId="13" fillId="9" borderId="13" xfId="0" applyFont="1" applyFill="1" applyBorder="1">
      <alignment vertical="center"/>
    </xf>
    <xf numFmtId="0" fontId="14" fillId="13" borderId="8" xfId="0" applyFont="1" applyFill="1" applyBorder="1" applyAlignment="1">
      <alignment horizontal="left" vertical="center"/>
    </xf>
    <xf numFmtId="0" fontId="14" fillId="8" borderId="19" xfId="0" applyFont="1" applyFill="1" applyBorder="1">
      <alignment vertical="center"/>
    </xf>
    <xf numFmtId="0" fontId="14" fillId="9" borderId="19" xfId="0" applyFont="1" applyFill="1" applyBorder="1">
      <alignment vertical="center"/>
    </xf>
    <xf numFmtId="0" fontId="40" fillId="0" borderId="0" xfId="0" applyFont="1" applyAlignment="1">
      <alignment horizontal="left" vertical="center"/>
    </xf>
    <xf numFmtId="0" fontId="33" fillId="0" borderId="0" xfId="5" applyAlignment="1">
      <alignment vertical="center" wrapText="1"/>
    </xf>
    <xf numFmtId="0" fontId="33" fillId="0" borderId="0" xfId="5" applyAlignment="1">
      <alignment horizontal="left" vertical="center" wrapText="1"/>
    </xf>
    <xf numFmtId="0" fontId="33" fillId="0" borderId="0" xfId="5">
      <alignment vertical="center"/>
    </xf>
    <xf numFmtId="0" fontId="33" fillId="0" borderId="0" xfId="5" applyAlignment="1">
      <alignment horizontal="left" vertical="center"/>
    </xf>
    <xf numFmtId="0" fontId="0" fillId="0" borderId="0" xfId="0" applyAlignment="1">
      <alignment horizontal="left" vertical="center"/>
    </xf>
    <xf numFmtId="0" fontId="45" fillId="0" borderId="0" xfId="0" applyFont="1">
      <alignment vertical="center"/>
    </xf>
    <xf numFmtId="0" fontId="45" fillId="9" borderId="0" xfId="0" applyFont="1" applyFill="1">
      <alignment vertical="center"/>
    </xf>
    <xf numFmtId="0" fontId="45" fillId="8" borderId="0" xfId="0" applyFont="1" applyFill="1">
      <alignment vertical="center"/>
    </xf>
    <xf numFmtId="0" fontId="45" fillId="16" borderId="0" xfId="0" applyFont="1" applyFill="1">
      <alignment vertical="center"/>
    </xf>
    <xf numFmtId="0" fontId="45" fillId="7" borderId="0" xfId="0" applyFont="1" applyFill="1">
      <alignment vertical="center"/>
    </xf>
    <xf numFmtId="0" fontId="45" fillId="6" borderId="0" xfId="0" applyFont="1" applyFill="1">
      <alignment vertical="center"/>
    </xf>
    <xf numFmtId="0" fontId="8" fillId="6" borderId="0" xfId="0" applyFont="1" applyFill="1" applyAlignment="1">
      <alignment vertical="center" wrapText="1"/>
    </xf>
    <xf numFmtId="0" fontId="45" fillId="3" borderId="0" xfId="0" applyFont="1" applyFill="1" applyAlignment="1">
      <alignment vertical="center" wrapText="1"/>
    </xf>
    <xf numFmtId="0" fontId="8" fillId="16" borderId="0" xfId="0" applyFont="1" applyFill="1">
      <alignment vertical="center"/>
    </xf>
    <xf numFmtId="0" fontId="8" fillId="8" borderId="0" xfId="0" applyFont="1" applyFill="1">
      <alignment vertical="center"/>
    </xf>
    <xf numFmtId="0" fontId="33" fillId="0" borderId="62" xfId="0" applyFont="1" applyBorder="1" applyAlignment="1">
      <alignment horizontal="center" vertical="center"/>
    </xf>
    <xf numFmtId="0" fontId="0" fillId="0" borderId="62" xfId="0" applyBorder="1">
      <alignment vertical="center"/>
    </xf>
    <xf numFmtId="0" fontId="32" fillId="9" borderId="0" xfId="0" applyFont="1" applyFill="1" applyAlignment="1">
      <alignment vertical="center" wrapText="1"/>
    </xf>
    <xf numFmtId="0" fontId="45" fillId="8" borderId="0" xfId="0" applyFont="1" applyFill="1" applyAlignment="1">
      <alignment vertical="center" wrapText="1"/>
    </xf>
    <xf numFmtId="0" fontId="45" fillId="7" borderId="0" xfId="0" applyFont="1" applyFill="1" applyAlignment="1">
      <alignment vertical="center" wrapText="1"/>
    </xf>
    <xf numFmtId="0" fontId="45" fillId="6" borderId="0" xfId="0" applyFont="1" applyFill="1" applyAlignment="1">
      <alignment vertical="center" wrapText="1"/>
    </xf>
    <xf numFmtId="0" fontId="8" fillId="9" borderId="0" xfId="0" applyFont="1" applyFill="1" applyAlignment="1">
      <alignment horizontal="left" vertical="center"/>
    </xf>
    <xf numFmtId="0" fontId="8" fillId="9" borderId="0" xfId="2" applyFont="1" applyFill="1">
      <alignment vertical="center"/>
    </xf>
    <xf numFmtId="0" fontId="45" fillId="9" borderId="0" xfId="2" applyFont="1" applyFill="1">
      <alignment vertical="center"/>
    </xf>
    <xf numFmtId="0" fontId="45" fillId="9" borderId="0" xfId="0" applyFont="1" applyFill="1" applyAlignment="1">
      <alignment horizontal="left" vertical="center"/>
    </xf>
    <xf numFmtId="0" fontId="45" fillId="8" borderId="0" xfId="2" applyFont="1" applyFill="1">
      <alignment vertical="center"/>
    </xf>
    <xf numFmtId="0" fontId="45" fillId="8" borderId="0" xfId="0" applyFont="1" applyFill="1" applyAlignment="1">
      <alignment horizontal="left" vertical="center"/>
    </xf>
    <xf numFmtId="0" fontId="45" fillId="7" borderId="0" xfId="2" applyFont="1" applyFill="1">
      <alignment vertical="center"/>
    </xf>
    <xf numFmtId="0" fontId="45" fillId="7" borderId="0" xfId="2" applyFont="1" applyFill="1" applyAlignment="1">
      <alignment horizontal="left" vertical="center"/>
    </xf>
    <xf numFmtId="0" fontId="47" fillId="0" borderId="0" xfId="0" applyFont="1">
      <alignment vertical="center"/>
    </xf>
    <xf numFmtId="0" fontId="45" fillId="9" borderId="0" xfId="0" applyFont="1" applyFill="1" applyAlignment="1">
      <alignment vertical="center" wrapText="1"/>
    </xf>
    <xf numFmtId="0" fontId="48" fillId="9" borderId="0" xfId="0" applyFont="1" applyFill="1">
      <alignment vertical="center"/>
    </xf>
    <xf numFmtId="0" fontId="48" fillId="8" borderId="0" xfId="0" applyFont="1" applyFill="1">
      <alignment vertical="center"/>
    </xf>
    <xf numFmtId="0" fontId="45" fillId="8" borderId="0" xfId="2" applyFont="1" applyFill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8" borderId="0" xfId="2" applyFont="1" applyFill="1">
      <alignment vertical="center"/>
    </xf>
    <xf numFmtId="0" fontId="8" fillId="8" borderId="0" xfId="0" applyFont="1" applyFill="1" applyAlignment="1">
      <alignment horizontal="left" vertical="center"/>
    </xf>
    <xf numFmtId="0" fontId="45" fillId="8" borderId="0" xfId="3" applyFont="1" applyFill="1">
      <alignment vertical="center"/>
    </xf>
    <xf numFmtId="0" fontId="6" fillId="0" borderId="0" xfId="0" applyFont="1">
      <alignment vertical="center"/>
    </xf>
    <xf numFmtId="0" fontId="8" fillId="8" borderId="0" xfId="0" applyFont="1" applyFill="1" applyAlignment="1">
      <alignment vertical="center" wrapText="1"/>
    </xf>
    <xf numFmtId="0" fontId="14" fillId="17" borderId="24" xfId="0" applyFont="1" applyFill="1" applyBorder="1">
      <alignment vertical="center"/>
    </xf>
    <xf numFmtId="0" fontId="13" fillId="17" borderId="24" xfId="0" applyFont="1" applyFill="1" applyBorder="1">
      <alignment vertical="center"/>
    </xf>
    <xf numFmtId="0" fontId="13" fillId="17" borderId="26" xfId="0" applyFont="1" applyFill="1" applyBorder="1" applyAlignment="1">
      <alignment vertical="center" wrapText="1"/>
    </xf>
    <xf numFmtId="0" fontId="14" fillId="17" borderId="49" xfId="0" applyFont="1" applyFill="1" applyBorder="1">
      <alignment vertical="center"/>
    </xf>
    <xf numFmtId="0" fontId="13" fillId="17" borderId="21" xfId="0" applyFont="1" applyFill="1" applyBorder="1">
      <alignment vertical="center"/>
    </xf>
    <xf numFmtId="0" fontId="13" fillId="17" borderId="9" xfId="0" applyFont="1" applyFill="1" applyBorder="1" applyAlignment="1">
      <alignment vertical="center" wrapText="1"/>
    </xf>
    <xf numFmtId="0" fontId="14" fillId="17" borderId="40" xfId="0" applyFont="1" applyFill="1" applyBorder="1">
      <alignment vertical="center"/>
    </xf>
    <xf numFmtId="0" fontId="13" fillId="17" borderId="5" xfId="0" applyFont="1" applyFill="1" applyBorder="1">
      <alignment vertical="center"/>
    </xf>
    <xf numFmtId="0" fontId="13" fillId="17" borderId="10" xfId="0" applyFont="1" applyFill="1" applyBorder="1" applyAlignment="1">
      <alignment vertical="center" wrapText="1"/>
    </xf>
    <xf numFmtId="0" fontId="13" fillId="17" borderId="10" xfId="0" applyFont="1" applyFill="1" applyBorder="1">
      <alignment vertical="center"/>
    </xf>
    <xf numFmtId="0" fontId="14" fillId="17" borderId="11" xfId="0" applyFont="1" applyFill="1" applyBorder="1">
      <alignment vertical="center"/>
    </xf>
    <xf numFmtId="0" fontId="13" fillId="17" borderId="12" xfId="0" applyFont="1" applyFill="1" applyBorder="1">
      <alignment vertical="center"/>
    </xf>
    <xf numFmtId="0" fontId="13" fillId="17" borderId="13" xfId="0" applyFont="1" applyFill="1" applyBorder="1" applyAlignment="1">
      <alignment vertical="center" wrapText="1"/>
    </xf>
    <xf numFmtId="0" fontId="14" fillId="17" borderId="5" xfId="0" applyFont="1" applyFill="1" applyBorder="1">
      <alignment vertical="center"/>
    </xf>
    <xf numFmtId="0" fontId="14" fillId="17" borderId="12" xfId="0" applyFont="1" applyFill="1" applyBorder="1">
      <alignment vertical="center"/>
    </xf>
    <xf numFmtId="0" fontId="13" fillId="17" borderId="13" xfId="0" applyFont="1" applyFill="1" applyBorder="1">
      <alignment vertical="center"/>
    </xf>
    <xf numFmtId="0" fontId="14" fillId="17" borderId="51" xfId="0" applyFont="1" applyFill="1" applyBorder="1" applyAlignment="1">
      <alignment horizontal="left" vertical="center"/>
    </xf>
    <xf numFmtId="0" fontId="13" fillId="17" borderId="25" xfId="0" applyFont="1" applyFill="1" applyBorder="1" applyAlignment="1">
      <alignment horizontal="left" vertical="center"/>
    </xf>
    <xf numFmtId="0" fontId="13" fillId="17" borderId="27" xfId="0" applyFont="1" applyFill="1" applyBorder="1" applyAlignment="1">
      <alignment horizontal="left" vertical="center"/>
    </xf>
    <xf numFmtId="0" fontId="14" fillId="17" borderId="21" xfId="0" applyFont="1" applyFill="1" applyBorder="1">
      <alignment vertical="center"/>
    </xf>
    <xf numFmtId="0" fontId="14" fillId="17" borderId="52" xfId="0" applyFont="1" applyFill="1" applyBorder="1">
      <alignment vertical="center"/>
    </xf>
    <xf numFmtId="0" fontId="13" fillId="17" borderId="53" xfId="0" applyFont="1" applyFill="1" applyBorder="1">
      <alignment vertical="center"/>
    </xf>
    <xf numFmtId="0" fontId="13" fillId="17" borderId="54" xfId="0" applyFont="1" applyFill="1" applyBorder="1" applyAlignment="1">
      <alignment vertical="center" wrapText="1"/>
    </xf>
    <xf numFmtId="0" fontId="14" fillId="17" borderId="37" xfId="0" applyFont="1" applyFill="1" applyBorder="1">
      <alignment vertical="center"/>
    </xf>
    <xf numFmtId="0" fontId="13" fillId="17" borderId="15" xfId="0" applyFont="1" applyFill="1" applyBorder="1">
      <alignment vertical="center"/>
    </xf>
    <xf numFmtId="0" fontId="13" fillId="17" borderId="16" xfId="0" applyFont="1" applyFill="1" applyBorder="1">
      <alignment vertical="center"/>
    </xf>
    <xf numFmtId="0" fontId="14" fillId="17" borderId="40" xfId="0" applyFont="1" applyFill="1" applyBorder="1" applyAlignment="1">
      <alignment vertical="center" wrapText="1"/>
    </xf>
    <xf numFmtId="0" fontId="14" fillId="17" borderId="42" xfId="0" applyFont="1" applyFill="1" applyBorder="1">
      <alignment vertical="center"/>
    </xf>
    <xf numFmtId="0" fontId="14" fillId="17" borderId="19" xfId="0" applyFont="1" applyFill="1" applyBorder="1">
      <alignment vertical="center"/>
    </xf>
    <xf numFmtId="0" fontId="14" fillId="17" borderId="8" xfId="0" applyFont="1" applyFill="1" applyBorder="1">
      <alignment vertical="center"/>
    </xf>
    <xf numFmtId="0" fontId="13" fillId="17" borderId="9" xfId="0" applyFont="1" applyFill="1" applyBorder="1">
      <alignment vertical="center"/>
    </xf>
    <xf numFmtId="0" fontId="14" fillId="17" borderId="56" xfId="0" applyFont="1" applyFill="1" applyBorder="1">
      <alignment vertical="center"/>
    </xf>
    <xf numFmtId="0" fontId="13" fillId="17" borderId="20" xfId="0" applyFont="1" applyFill="1" applyBorder="1">
      <alignment vertical="center"/>
    </xf>
    <xf numFmtId="0" fontId="13" fillId="17" borderId="17" xfId="0" applyFont="1" applyFill="1" applyBorder="1" applyAlignment="1">
      <alignment vertical="center" wrapText="1"/>
    </xf>
    <xf numFmtId="0" fontId="14" fillId="17" borderId="35" xfId="0" applyFont="1" applyFill="1" applyBorder="1">
      <alignment vertical="center"/>
    </xf>
    <xf numFmtId="0" fontId="13" fillId="17" borderId="25" xfId="0" applyFont="1" applyFill="1" applyBorder="1">
      <alignment vertical="center"/>
    </xf>
    <xf numFmtId="0" fontId="13" fillId="17" borderId="27" xfId="0" applyFont="1" applyFill="1" applyBorder="1" applyAlignment="1">
      <alignment vertical="center" wrapText="1"/>
    </xf>
    <xf numFmtId="0" fontId="14" fillId="17" borderId="18" xfId="0" applyFont="1" applyFill="1" applyBorder="1">
      <alignment vertical="center"/>
    </xf>
    <xf numFmtId="0" fontId="14" fillId="17" borderId="1" xfId="0" applyFont="1" applyFill="1" applyBorder="1">
      <alignment vertical="center"/>
    </xf>
    <xf numFmtId="0" fontId="13" fillId="17" borderId="2" xfId="0" applyFont="1" applyFill="1" applyBorder="1">
      <alignment vertical="center"/>
    </xf>
    <xf numFmtId="0" fontId="13" fillId="17" borderId="3" xfId="0" applyFont="1" applyFill="1" applyBorder="1" applyAlignment="1">
      <alignment vertical="center" wrapText="1"/>
    </xf>
    <xf numFmtId="0" fontId="22" fillId="17" borderId="0" xfId="2" applyFont="1" applyFill="1" applyAlignment="1">
      <alignment horizontal="left" vertical="center"/>
    </xf>
    <xf numFmtId="0" fontId="24" fillId="17" borderId="0" xfId="0" applyFont="1" applyFill="1">
      <alignment vertical="center"/>
    </xf>
    <xf numFmtId="0" fontId="22" fillId="17" borderId="0" xfId="2" applyFont="1" applyFill="1">
      <alignment vertical="center"/>
    </xf>
    <xf numFmtId="0" fontId="22" fillId="17" borderId="0" xfId="0" applyFont="1" applyFill="1">
      <alignment vertical="center"/>
    </xf>
    <xf numFmtId="0" fontId="8" fillId="17" borderId="0" xfId="0" applyFont="1" applyFill="1">
      <alignment vertical="center"/>
    </xf>
    <xf numFmtId="0" fontId="45" fillId="17" borderId="0" xfId="2" applyFont="1" applyFill="1">
      <alignment vertical="center"/>
    </xf>
    <xf numFmtId="0" fontId="22" fillId="17" borderId="0" xfId="0" applyFont="1" applyFill="1" applyAlignment="1">
      <alignment horizontal="left" vertical="center"/>
    </xf>
    <xf numFmtId="0" fontId="45" fillId="17" borderId="0" xfId="0" applyFont="1" applyFill="1" applyAlignment="1">
      <alignment horizontal="left" vertical="center"/>
    </xf>
    <xf numFmtId="0" fontId="45" fillId="17" borderId="0" xfId="0" applyFont="1" applyFill="1">
      <alignment vertical="center"/>
    </xf>
    <xf numFmtId="0" fontId="8" fillId="17" borderId="0" xfId="2" applyFont="1" applyFill="1" applyAlignment="1">
      <alignment horizontal="left" vertical="center"/>
    </xf>
    <xf numFmtId="0" fontId="32" fillId="17" borderId="0" xfId="0" applyFont="1" applyFill="1">
      <alignment vertical="center"/>
    </xf>
    <xf numFmtId="0" fontId="32" fillId="17" borderId="0" xfId="5" applyFont="1" applyFill="1" applyAlignment="1">
      <alignment horizontal="left" vertical="center" wrapText="1"/>
    </xf>
    <xf numFmtId="0" fontId="45" fillId="17" borderId="0" xfId="0" applyFont="1" applyFill="1" applyAlignment="1">
      <alignment vertical="center" wrapText="1"/>
    </xf>
    <xf numFmtId="0" fontId="48" fillId="17" borderId="0" xfId="0" applyFont="1" applyFill="1">
      <alignment vertical="center"/>
    </xf>
    <xf numFmtId="0" fontId="8" fillId="7" borderId="0" xfId="0" applyFont="1" applyFill="1">
      <alignment vertical="center"/>
    </xf>
    <xf numFmtId="0" fontId="51" fillId="0" borderId="0" xfId="0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0" fontId="52" fillId="0" borderId="73" xfId="0" applyFont="1" applyBorder="1" applyAlignment="1">
      <alignment horizontal="left" vertical="center"/>
    </xf>
    <xf numFmtId="0" fontId="53" fillId="9" borderId="0" xfId="2" applyFont="1" applyFill="1">
      <alignment vertical="center"/>
    </xf>
    <xf numFmtId="0" fontId="53" fillId="9" borderId="0" xfId="2" applyFont="1" applyFill="1" applyAlignment="1">
      <alignment vertical="center" wrapText="1"/>
    </xf>
    <xf numFmtId="0" fontId="53" fillId="8" borderId="0" xfId="2" applyFont="1" applyFill="1">
      <alignment vertical="center"/>
    </xf>
    <xf numFmtId="0" fontId="53" fillId="8" borderId="0" xfId="3" applyFont="1" applyFill="1">
      <alignment vertical="center"/>
    </xf>
    <xf numFmtId="0" fontId="53" fillId="8" borderId="0" xfId="2" applyFont="1" applyFill="1" applyAlignment="1">
      <alignment vertical="center" wrapText="1"/>
    </xf>
    <xf numFmtId="0" fontId="53" fillId="7" borderId="0" xfId="2" applyFont="1" applyFill="1">
      <alignment vertical="center"/>
    </xf>
    <xf numFmtId="0" fontId="53" fillId="7" borderId="0" xfId="2" applyFont="1" applyFill="1" applyAlignment="1">
      <alignment horizontal="left" vertical="center"/>
    </xf>
    <xf numFmtId="0" fontId="53" fillId="6" borderId="0" xfId="2" applyFont="1" applyFill="1">
      <alignment vertical="center"/>
    </xf>
    <xf numFmtId="0" fontId="54" fillId="4" borderId="24" xfId="0" applyFont="1" applyFill="1" applyBorder="1">
      <alignment vertical="center"/>
    </xf>
    <xf numFmtId="0" fontId="13" fillId="7" borderId="5" xfId="0" applyFont="1" applyFill="1" applyBorder="1">
      <alignment vertical="center"/>
    </xf>
    <xf numFmtId="0" fontId="13" fillId="8" borderId="20" xfId="0" applyFont="1" applyFill="1" applyBorder="1" applyAlignment="1">
      <alignment vertical="center" wrapText="1"/>
    </xf>
    <xf numFmtId="0" fontId="13" fillId="17" borderId="5" xfId="0" applyFont="1" applyFill="1" applyBorder="1" applyAlignment="1">
      <alignment vertical="center" wrapText="1"/>
    </xf>
    <xf numFmtId="0" fontId="13" fillId="9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13" fillId="6" borderId="5" xfId="0" applyFont="1" applyFill="1" applyBorder="1">
      <alignment vertical="center"/>
    </xf>
    <xf numFmtId="0" fontId="54" fillId="4" borderId="24" xfId="0" applyFont="1" applyFill="1" applyBorder="1" applyAlignment="1">
      <alignment horizontal="left" vertical="center"/>
    </xf>
    <xf numFmtId="0" fontId="13" fillId="17" borderId="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7" borderId="5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3" fillId="16" borderId="5" xfId="0" applyFont="1" applyFill="1" applyBorder="1" applyAlignment="1">
      <alignment horizontal="left" vertical="center"/>
    </xf>
    <xf numFmtId="0" fontId="13" fillId="16" borderId="5" xfId="0" applyFont="1" applyFill="1" applyBorder="1">
      <alignment vertical="center"/>
    </xf>
    <xf numFmtId="0" fontId="54" fillId="4" borderId="74" xfId="0" applyFont="1" applyFill="1" applyBorder="1">
      <alignment vertical="center"/>
    </xf>
    <xf numFmtId="0" fontId="54" fillId="4" borderId="26" xfId="0" applyFont="1" applyFill="1" applyBorder="1">
      <alignment vertical="center"/>
    </xf>
    <xf numFmtId="0" fontId="13" fillId="9" borderId="8" xfId="0" applyFont="1" applyFill="1" applyBorder="1" applyAlignment="1">
      <alignment vertical="center" wrapText="1"/>
    </xf>
    <xf numFmtId="0" fontId="13" fillId="8" borderId="8" xfId="0" applyFont="1" applyFill="1" applyBorder="1" applyAlignment="1">
      <alignment vertical="center" wrapText="1"/>
    </xf>
    <xf numFmtId="0" fontId="13" fillId="17" borderId="8" xfId="0" applyFont="1" applyFill="1" applyBorder="1" applyAlignment="1">
      <alignment vertical="center" wrapText="1"/>
    </xf>
    <xf numFmtId="0" fontId="13" fillId="7" borderId="8" xfId="0" applyFont="1" applyFill="1" applyBorder="1" applyAlignment="1">
      <alignment vertical="center" wrapText="1"/>
    </xf>
    <xf numFmtId="0" fontId="13" fillId="7" borderId="10" xfId="0" applyFont="1" applyFill="1" applyBorder="1" applyAlignment="1">
      <alignment vertical="center" wrapText="1"/>
    </xf>
    <xf numFmtId="0" fontId="13" fillId="7" borderId="11" xfId="0" applyFont="1" applyFill="1" applyBorder="1" applyAlignment="1">
      <alignment vertical="center" wrapText="1"/>
    </xf>
    <xf numFmtId="0" fontId="13" fillId="7" borderId="12" xfId="0" applyFont="1" applyFill="1" applyBorder="1" applyAlignment="1">
      <alignment vertical="center" wrapText="1"/>
    </xf>
    <xf numFmtId="0" fontId="13" fillId="7" borderId="13" xfId="0" applyFont="1" applyFill="1" applyBorder="1">
      <alignment vertical="center"/>
    </xf>
    <xf numFmtId="0" fontId="13" fillId="8" borderId="18" xfId="0" applyFont="1" applyFill="1" applyBorder="1" applyAlignment="1">
      <alignment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13" fillId="7" borderId="13" xfId="0" applyFont="1" applyFill="1" applyBorder="1" applyAlignment="1">
      <alignment vertical="center" wrapText="1"/>
    </xf>
    <xf numFmtId="0" fontId="13" fillId="9" borderId="11" xfId="0" applyFont="1" applyFill="1" applyBorder="1" applyAlignment="1">
      <alignment vertical="center" wrapText="1"/>
    </xf>
    <xf numFmtId="0" fontId="13" fillId="9" borderId="12" xfId="0" applyFont="1" applyFill="1" applyBorder="1" applyAlignment="1">
      <alignment vertical="center" wrapText="1"/>
    </xf>
    <xf numFmtId="0" fontId="13" fillId="17" borderId="11" xfId="0" applyFont="1" applyFill="1" applyBorder="1" applyAlignment="1">
      <alignment vertical="center" wrapText="1"/>
    </xf>
    <xf numFmtId="0" fontId="13" fillId="17" borderId="12" xfId="0" applyFont="1" applyFill="1" applyBorder="1" applyAlignment="1">
      <alignment vertical="center" wrapText="1"/>
    </xf>
    <xf numFmtId="0" fontId="13" fillId="6" borderId="10" xfId="0" applyFont="1" applyFill="1" applyBorder="1">
      <alignment vertical="center"/>
    </xf>
    <xf numFmtId="0" fontId="13" fillId="6" borderId="12" xfId="0" applyFont="1" applyFill="1" applyBorder="1">
      <alignment vertical="center"/>
    </xf>
    <xf numFmtId="0" fontId="13" fillId="6" borderId="13" xfId="0" applyFont="1" applyFill="1" applyBorder="1">
      <alignment vertical="center"/>
    </xf>
    <xf numFmtId="0" fontId="13" fillId="6" borderId="8" xfId="0" applyFont="1" applyFill="1" applyBorder="1">
      <alignment vertical="center"/>
    </xf>
    <xf numFmtId="0" fontId="13" fillId="6" borderId="11" xfId="0" applyFont="1" applyFill="1" applyBorder="1">
      <alignment vertical="center"/>
    </xf>
    <xf numFmtId="0" fontId="13" fillId="7" borderId="10" xfId="0" applyFont="1" applyFill="1" applyBorder="1">
      <alignment vertical="center"/>
    </xf>
    <xf numFmtId="0" fontId="13" fillId="16" borderId="10" xfId="0" applyFont="1" applyFill="1" applyBorder="1">
      <alignment vertical="center"/>
    </xf>
    <xf numFmtId="0" fontId="8" fillId="9" borderId="0" xfId="0" applyFont="1" applyFill="1" applyAlignment="1">
      <alignment vertical="center" wrapText="1"/>
    </xf>
    <xf numFmtId="0" fontId="8" fillId="17" borderId="0" xfId="0" applyFont="1" applyFill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55" fillId="0" borderId="0" xfId="0" applyFont="1">
      <alignment vertical="center"/>
    </xf>
    <xf numFmtId="0" fontId="13" fillId="9" borderId="8" xfId="0" applyFont="1" applyFill="1" applyBorder="1">
      <alignment vertical="center"/>
    </xf>
    <xf numFmtId="0" fontId="13" fillId="8" borderId="8" xfId="0" applyFont="1" applyFill="1" applyBorder="1">
      <alignment vertical="center"/>
    </xf>
    <xf numFmtId="0" fontId="13" fillId="17" borderId="8" xfId="0" applyFont="1" applyFill="1" applyBorder="1">
      <alignment vertical="center"/>
    </xf>
    <xf numFmtId="0" fontId="13" fillId="7" borderId="8" xfId="0" applyFont="1" applyFill="1" applyBorder="1">
      <alignment vertical="center"/>
    </xf>
    <xf numFmtId="0" fontId="13" fillId="16" borderId="8" xfId="0" applyFont="1" applyFill="1" applyBorder="1">
      <alignment vertical="center"/>
    </xf>
    <xf numFmtId="0" fontId="13" fillId="9" borderId="0" xfId="2" applyFont="1" applyFill="1" applyAlignment="1">
      <alignment horizontal="left" vertical="center"/>
    </xf>
    <xf numFmtId="0" fontId="13" fillId="9" borderId="5" xfId="5" applyFont="1" applyFill="1" applyBorder="1" applyAlignment="1">
      <alignment horizontal="left" vertical="center" wrapText="1"/>
    </xf>
    <xf numFmtId="0" fontId="13" fillId="9" borderId="10" xfId="5" applyFont="1" applyFill="1" applyBorder="1" applyAlignment="1">
      <alignment vertical="center" wrapText="1"/>
    </xf>
    <xf numFmtId="0" fontId="13" fillId="9" borderId="17" xfId="5" applyFont="1" applyFill="1" applyBorder="1" applyAlignment="1">
      <alignment horizontal="left" vertical="center" wrapText="1"/>
    </xf>
    <xf numFmtId="0" fontId="13" fillId="9" borderId="5" xfId="5" applyFont="1" applyFill="1" applyBorder="1" applyAlignment="1">
      <alignment vertical="center" wrapText="1"/>
    </xf>
    <xf numFmtId="0" fontId="13" fillId="9" borderId="0" xfId="0" applyFont="1" applyFill="1">
      <alignment vertical="center"/>
    </xf>
    <xf numFmtId="0" fontId="13" fillId="9" borderId="20" xfId="5" applyFont="1" applyFill="1" applyBorder="1" applyAlignment="1">
      <alignment horizontal="left" vertical="center" wrapText="1"/>
    </xf>
    <xf numFmtId="0" fontId="13" fillId="9" borderId="59" xfId="5" applyFont="1" applyFill="1" applyBorder="1" applyAlignment="1">
      <alignment vertical="center" wrapText="1"/>
    </xf>
    <xf numFmtId="0" fontId="13" fillId="9" borderId="12" xfId="5" applyFont="1" applyFill="1" applyBorder="1" applyAlignment="1">
      <alignment horizontal="left" vertical="center" wrapText="1"/>
    </xf>
    <xf numFmtId="0" fontId="13" fillId="9" borderId="13" xfId="5" applyFont="1" applyFill="1" applyBorder="1" applyAlignment="1">
      <alignment vertical="center" wrapText="1"/>
    </xf>
    <xf numFmtId="0" fontId="13" fillId="8" borderId="5" xfId="5" applyFont="1" applyFill="1" applyBorder="1" applyAlignment="1">
      <alignment horizontal="left" vertical="center" wrapText="1"/>
    </xf>
    <xf numFmtId="0" fontId="13" fillId="8" borderId="5" xfId="5" applyFont="1" applyFill="1" applyBorder="1" applyAlignment="1">
      <alignment vertical="center" wrapText="1"/>
    </xf>
    <xf numFmtId="0" fontId="13" fillId="17" borderId="5" xfId="5" applyFont="1" applyFill="1" applyBorder="1" applyAlignment="1">
      <alignment horizontal="left" vertical="center" wrapText="1"/>
    </xf>
    <xf numFmtId="0" fontId="13" fillId="17" borderId="5" xfId="5" applyFont="1" applyFill="1" applyBorder="1" applyAlignment="1">
      <alignment vertical="center" wrapText="1"/>
    </xf>
    <xf numFmtId="0" fontId="59" fillId="4" borderId="24" xfId="0" applyFont="1" applyFill="1" applyBorder="1" applyAlignment="1">
      <alignment horizontal="left" vertical="center"/>
    </xf>
    <xf numFmtId="0" fontId="61" fillId="0" borderId="0" xfId="0" applyFont="1">
      <alignment vertical="center"/>
    </xf>
    <xf numFmtId="0" fontId="14" fillId="9" borderId="37" xfId="0" applyFont="1" applyFill="1" applyBorder="1" applyAlignment="1">
      <alignment horizontal="left" vertical="center"/>
    </xf>
    <xf numFmtId="0" fontId="13" fillId="9" borderId="15" xfId="0" applyFont="1" applyFill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4" fillId="9" borderId="21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left" vertical="center"/>
    </xf>
    <xf numFmtId="0" fontId="14" fillId="9" borderId="42" xfId="0" applyFont="1" applyFill="1" applyBorder="1" applyAlignment="1">
      <alignment horizontal="left" vertical="center"/>
    </xf>
    <xf numFmtId="0" fontId="13" fillId="9" borderId="12" xfId="0" applyFont="1" applyFill="1" applyBorder="1" applyAlignment="1">
      <alignment horizontal="left" vertical="center"/>
    </xf>
    <xf numFmtId="0" fontId="14" fillId="9" borderId="12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0" fontId="14" fillId="8" borderId="37" xfId="0" applyFont="1" applyFill="1" applyBorder="1" applyAlignment="1">
      <alignment horizontal="left" vertical="center"/>
    </xf>
    <xf numFmtId="0" fontId="13" fillId="8" borderId="15" xfId="0" applyFont="1" applyFill="1" applyBorder="1" applyAlignment="1">
      <alignment horizontal="left" vertical="center"/>
    </xf>
    <xf numFmtId="0" fontId="14" fillId="8" borderId="21" xfId="0" applyFont="1" applyFill="1" applyBorder="1" applyAlignment="1">
      <alignment horizontal="left" vertical="center"/>
    </xf>
    <xf numFmtId="0" fontId="14" fillId="8" borderId="15" xfId="0" applyFont="1" applyFill="1" applyBorder="1" applyAlignment="1">
      <alignment horizontal="left" vertical="center"/>
    </xf>
    <xf numFmtId="0" fontId="13" fillId="8" borderId="16" xfId="0" applyFont="1" applyFill="1" applyBorder="1" applyAlignment="1">
      <alignment horizontal="left" vertical="center"/>
    </xf>
    <xf numFmtId="0" fontId="14" fillId="8" borderId="40" xfId="0" applyFont="1" applyFill="1" applyBorder="1" applyAlignment="1">
      <alignment horizontal="left" vertical="center"/>
    </xf>
    <xf numFmtId="0" fontId="13" fillId="8" borderId="5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3" fillId="8" borderId="10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left" vertical="center"/>
    </xf>
    <xf numFmtId="0" fontId="14" fillId="8" borderId="42" xfId="0" applyFont="1" applyFill="1" applyBorder="1" applyAlignment="1">
      <alignment horizontal="left" vertical="center"/>
    </xf>
    <xf numFmtId="0" fontId="13" fillId="8" borderId="12" xfId="0" applyFont="1" applyFill="1" applyBorder="1" applyAlignment="1">
      <alignment horizontal="left" vertical="center"/>
    </xf>
    <xf numFmtId="0" fontId="14" fillId="8" borderId="12" xfId="0" applyFont="1" applyFill="1" applyBorder="1" applyAlignment="1">
      <alignment horizontal="left" vertical="center"/>
    </xf>
    <xf numFmtId="0" fontId="14" fillId="17" borderId="37" xfId="0" applyFont="1" applyFill="1" applyBorder="1" applyAlignment="1">
      <alignment horizontal="left" vertical="center"/>
    </xf>
    <xf numFmtId="0" fontId="13" fillId="17" borderId="15" xfId="0" applyFont="1" applyFill="1" applyBorder="1" applyAlignment="1">
      <alignment horizontal="left" vertical="center"/>
    </xf>
    <xf numFmtId="0" fontId="14" fillId="17" borderId="21" xfId="0" applyFont="1" applyFill="1" applyBorder="1" applyAlignment="1">
      <alignment horizontal="left" vertical="center"/>
    </xf>
    <xf numFmtId="0" fontId="14" fillId="17" borderId="15" xfId="0" applyFont="1" applyFill="1" applyBorder="1" applyAlignment="1">
      <alignment horizontal="left" vertical="center"/>
    </xf>
    <xf numFmtId="0" fontId="13" fillId="17" borderId="16" xfId="0" applyFont="1" applyFill="1" applyBorder="1" applyAlignment="1">
      <alignment horizontal="left" vertical="center"/>
    </xf>
    <xf numFmtId="0" fontId="14" fillId="17" borderId="40" xfId="0" applyFont="1" applyFill="1" applyBorder="1" applyAlignment="1">
      <alignment horizontal="left" vertical="center"/>
    </xf>
    <xf numFmtId="0" fontId="13" fillId="17" borderId="5" xfId="0" applyFont="1" applyFill="1" applyBorder="1" applyAlignment="1">
      <alignment horizontal="left" vertical="center"/>
    </xf>
    <xf numFmtId="0" fontId="14" fillId="17" borderId="5" xfId="0" applyFont="1" applyFill="1" applyBorder="1" applyAlignment="1">
      <alignment horizontal="left" vertical="center"/>
    </xf>
    <xf numFmtId="0" fontId="13" fillId="17" borderId="10" xfId="0" applyFont="1" applyFill="1" applyBorder="1" applyAlignment="1">
      <alignment horizontal="left" vertical="center"/>
    </xf>
    <xf numFmtId="0" fontId="14" fillId="17" borderId="10" xfId="0" applyFont="1" applyFill="1" applyBorder="1" applyAlignment="1">
      <alignment horizontal="left" vertical="center"/>
    </xf>
    <xf numFmtId="0" fontId="14" fillId="17" borderId="42" xfId="0" applyFont="1" applyFill="1" applyBorder="1" applyAlignment="1">
      <alignment horizontal="left" vertical="center"/>
    </xf>
    <xf numFmtId="0" fontId="13" fillId="17" borderId="12" xfId="0" applyFont="1" applyFill="1" applyBorder="1" applyAlignment="1">
      <alignment horizontal="left" vertical="center"/>
    </xf>
    <xf numFmtId="0" fontId="14" fillId="17" borderId="25" xfId="0" applyFont="1" applyFill="1" applyBorder="1" applyAlignment="1">
      <alignment horizontal="left" vertical="center"/>
    </xf>
    <xf numFmtId="0" fontId="14" fillId="17" borderId="12" xfId="0" applyFont="1" applyFill="1" applyBorder="1" applyAlignment="1">
      <alignment horizontal="left" vertical="center"/>
    </xf>
    <xf numFmtId="0" fontId="13" fillId="17" borderId="13" xfId="0" applyFont="1" applyFill="1" applyBorder="1" applyAlignment="1">
      <alignment horizontal="left" vertical="center"/>
    </xf>
    <xf numFmtId="0" fontId="14" fillId="13" borderId="14" xfId="0" applyFont="1" applyFill="1" applyBorder="1" applyAlignment="1">
      <alignment horizontal="left" vertical="center"/>
    </xf>
    <xf numFmtId="0" fontId="13" fillId="13" borderId="15" xfId="0" applyFont="1" applyFill="1" applyBorder="1" applyAlignment="1">
      <alignment horizontal="left" vertical="center"/>
    </xf>
    <xf numFmtId="0" fontId="14" fillId="13" borderId="15" xfId="0" applyFont="1" applyFill="1" applyBorder="1" applyAlignment="1">
      <alignment horizontal="left" vertical="center"/>
    </xf>
    <xf numFmtId="0" fontId="13" fillId="13" borderId="16" xfId="0" applyFont="1" applyFill="1" applyBorder="1" applyAlignment="1">
      <alignment horizontal="left" vertical="center"/>
    </xf>
    <xf numFmtId="0" fontId="14" fillId="13" borderId="10" xfId="0" applyFont="1" applyFill="1" applyBorder="1" applyAlignment="1">
      <alignment horizontal="left" vertical="center"/>
    </xf>
    <xf numFmtId="0" fontId="14" fillId="13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14" fillId="6" borderId="38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left" vertical="center"/>
    </xf>
    <xf numFmtId="0" fontId="14" fillId="6" borderId="46" xfId="0" applyFont="1" applyFill="1" applyBorder="1" applyAlignment="1">
      <alignment horizontal="left" vertical="center"/>
    </xf>
    <xf numFmtId="0" fontId="62" fillId="6" borderId="5" xfId="0" applyFont="1" applyFill="1" applyBorder="1">
      <alignment vertical="center"/>
    </xf>
    <xf numFmtId="0" fontId="63" fillId="0" borderId="0" xfId="0" applyFont="1">
      <alignment vertical="center"/>
    </xf>
    <xf numFmtId="0" fontId="14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12" fontId="14" fillId="6" borderId="12" xfId="0" applyNumberFormat="1" applyFont="1" applyFill="1" applyBorder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5" fillId="0" borderId="29" xfId="0" applyFont="1" applyBorder="1" applyAlignment="1">
      <alignment horizontal="left" vertical="center"/>
    </xf>
    <xf numFmtId="0" fontId="59" fillId="4" borderId="48" xfId="0" applyFont="1" applyFill="1" applyBorder="1" applyAlignment="1">
      <alignment horizontal="left" vertical="center"/>
    </xf>
    <xf numFmtId="0" fontId="59" fillId="4" borderId="26" xfId="0" applyFont="1" applyFill="1" applyBorder="1" applyAlignment="1">
      <alignment horizontal="left" vertical="center"/>
    </xf>
    <xf numFmtId="0" fontId="14" fillId="9" borderId="49" xfId="0" applyFont="1" applyFill="1" applyBorder="1" applyAlignment="1">
      <alignment horizontal="left" vertical="center"/>
    </xf>
    <xf numFmtId="0" fontId="13" fillId="9" borderId="21" xfId="0" applyFont="1" applyFill="1" applyBorder="1" applyAlignment="1">
      <alignment horizontal="left" vertical="center" wrapText="1"/>
    </xf>
    <xf numFmtId="0" fontId="13" fillId="9" borderId="9" xfId="0" applyFont="1" applyFill="1" applyBorder="1" applyAlignment="1">
      <alignment horizontal="left" vertical="center"/>
    </xf>
    <xf numFmtId="0" fontId="13" fillId="9" borderId="27" xfId="0" applyFont="1" applyFill="1" applyBorder="1" applyAlignment="1">
      <alignment horizontal="left" vertical="center"/>
    </xf>
    <xf numFmtId="0" fontId="14" fillId="8" borderId="49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4" fillId="8" borderId="38" xfId="0" applyFont="1" applyFill="1" applyBorder="1" applyAlignment="1">
      <alignment horizontal="left" vertical="center"/>
    </xf>
    <xf numFmtId="0" fontId="13" fillId="8" borderId="9" xfId="0" applyFont="1" applyFill="1" applyBorder="1" applyAlignment="1">
      <alignment horizontal="left" vertical="center"/>
    </xf>
    <xf numFmtId="0" fontId="14" fillId="8" borderId="50" xfId="0" applyFont="1" applyFill="1" applyBorder="1" applyAlignment="1">
      <alignment horizontal="left" vertical="center"/>
    </xf>
    <xf numFmtId="0" fontId="13" fillId="8" borderId="13" xfId="0" applyFont="1" applyFill="1" applyBorder="1" applyAlignment="1">
      <alignment horizontal="left" vertical="center"/>
    </xf>
    <xf numFmtId="0" fontId="31" fillId="0" borderId="57" xfId="0" applyFont="1" applyBorder="1">
      <alignment vertical="center"/>
    </xf>
    <xf numFmtId="0" fontId="31" fillId="0" borderId="0" xfId="5" applyFont="1" applyAlignment="1">
      <alignment vertical="center" wrapText="1"/>
    </xf>
    <xf numFmtId="0" fontId="31" fillId="0" borderId="0" xfId="5" applyFont="1">
      <alignment vertical="center"/>
    </xf>
    <xf numFmtId="0" fontId="31" fillId="0" borderId="0" xfId="0" applyFont="1" applyAlignment="1">
      <alignment horizontal="left" vertical="center"/>
    </xf>
    <xf numFmtId="0" fontId="13" fillId="7" borderId="5" xfId="5" applyFont="1" applyFill="1" applyBorder="1" applyAlignment="1">
      <alignment horizontal="left" vertical="center" wrapText="1"/>
    </xf>
    <xf numFmtId="0" fontId="13" fillId="7" borderId="20" xfId="5" applyFont="1" applyFill="1" applyBorder="1" applyAlignment="1">
      <alignment horizontal="left" vertical="center" wrapText="1"/>
    </xf>
    <xf numFmtId="0" fontId="13" fillId="7" borderId="5" xfId="5" applyFont="1" applyFill="1" applyBorder="1" applyAlignment="1">
      <alignment vertical="center" wrapText="1"/>
    </xf>
    <xf numFmtId="0" fontId="13" fillId="6" borderId="5" xfId="0" applyFont="1" applyFill="1" applyBorder="1" applyAlignment="1">
      <alignment vertical="center" wrapText="1"/>
    </xf>
    <xf numFmtId="0" fontId="13" fillId="6" borderId="10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6" borderId="12" xfId="0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13" fillId="6" borderId="13" xfId="0" applyFont="1" applyFill="1" applyBorder="1" applyAlignment="1">
      <alignment vertical="center" wrapText="1"/>
    </xf>
    <xf numFmtId="0" fontId="13" fillId="9" borderId="71" xfId="0" applyFont="1" applyFill="1" applyBorder="1" applyAlignment="1">
      <alignment vertical="center" wrapText="1"/>
    </xf>
    <xf numFmtId="0" fontId="13" fillId="9" borderId="66" xfId="0" applyFont="1" applyFill="1" applyBorder="1" applyAlignment="1">
      <alignment vertical="center" wrapText="1"/>
    </xf>
    <xf numFmtId="0" fontId="13" fillId="9" borderId="67" xfId="0" applyFont="1" applyFill="1" applyBorder="1" applyAlignment="1">
      <alignment vertical="center" wrapText="1"/>
    </xf>
    <xf numFmtId="0" fontId="13" fillId="9" borderId="72" xfId="0" applyFont="1" applyFill="1" applyBorder="1" applyAlignment="1">
      <alignment vertical="center" wrapText="1"/>
    </xf>
    <xf numFmtId="0" fontId="13" fillId="9" borderId="69" xfId="0" applyFont="1" applyFill="1" applyBorder="1" applyAlignment="1">
      <alignment vertical="center" wrapText="1"/>
    </xf>
    <xf numFmtId="0" fontId="13" fillId="9" borderId="70" xfId="0" applyFont="1" applyFill="1" applyBorder="1" applyAlignment="1">
      <alignment vertical="center" wrapText="1"/>
    </xf>
    <xf numFmtId="0" fontId="13" fillId="8" borderId="71" xfId="0" applyFont="1" applyFill="1" applyBorder="1" applyAlignment="1">
      <alignment vertical="center" wrapText="1"/>
    </xf>
    <xf numFmtId="0" fontId="13" fillId="8" borderId="66" xfId="0" applyFont="1" applyFill="1" applyBorder="1" applyAlignment="1">
      <alignment vertical="center" wrapText="1"/>
    </xf>
    <xf numFmtId="0" fontId="13" fillId="8" borderId="67" xfId="0" applyFont="1" applyFill="1" applyBorder="1" applyAlignment="1">
      <alignment vertical="center" wrapText="1"/>
    </xf>
    <xf numFmtId="0" fontId="13" fillId="8" borderId="72" xfId="0" applyFont="1" applyFill="1" applyBorder="1" applyAlignment="1">
      <alignment vertical="center" wrapText="1"/>
    </xf>
    <xf numFmtId="0" fontId="13" fillId="8" borderId="69" xfId="0" applyFont="1" applyFill="1" applyBorder="1" applyAlignment="1">
      <alignment vertical="center" wrapText="1"/>
    </xf>
    <xf numFmtId="0" fontId="13" fillId="8" borderId="70" xfId="0" applyFont="1" applyFill="1" applyBorder="1" applyAlignment="1">
      <alignment vertical="center" wrapText="1"/>
    </xf>
    <xf numFmtId="0" fontId="13" fillId="17" borderId="71" xfId="0" applyFont="1" applyFill="1" applyBorder="1" applyAlignment="1">
      <alignment vertical="center" wrapText="1"/>
    </xf>
    <xf numFmtId="0" fontId="13" fillId="17" borderId="66" xfId="0" applyFont="1" applyFill="1" applyBorder="1" applyAlignment="1">
      <alignment vertical="center" wrapText="1"/>
    </xf>
    <xf numFmtId="0" fontId="13" fillId="17" borderId="67" xfId="0" applyFont="1" applyFill="1" applyBorder="1" applyAlignment="1">
      <alignment vertical="center" wrapText="1"/>
    </xf>
    <xf numFmtId="0" fontId="13" fillId="17" borderId="72" xfId="0" applyFont="1" applyFill="1" applyBorder="1" applyAlignment="1">
      <alignment vertical="center" wrapText="1"/>
    </xf>
    <xf numFmtId="0" fontId="13" fillId="17" borderId="70" xfId="0" applyFont="1" applyFill="1" applyBorder="1" applyAlignment="1">
      <alignment vertical="center" wrapText="1"/>
    </xf>
    <xf numFmtId="0" fontId="31" fillId="0" borderId="0" xfId="0" applyFont="1" applyProtection="1">
      <alignment vertical="center"/>
      <protection locked="0"/>
    </xf>
    <xf numFmtId="0" fontId="13" fillId="6" borderId="5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31" fillId="0" borderId="0" xfId="0" applyFont="1" applyAlignment="1" applyProtection="1">
      <alignment horizontal="center" vertical="center"/>
      <protection locked="0"/>
    </xf>
    <xf numFmtId="0" fontId="13" fillId="9" borderId="5" xfId="0" applyFont="1" applyFill="1" applyBorder="1" applyAlignment="1">
      <alignment horizontal="center" vertical="center" wrapText="1"/>
    </xf>
    <xf numFmtId="0" fontId="13" fillId="9" borderId="46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13" fillId="9" borderId="50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50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13" fillId="17" borderId="46" xfId="0" applyFont="1" applyFill="1" applyBorder="1" applyAlignment="1">
      <alignment horizontal="center" vertical="center" wrapText="1"/>
    </xf>
    <xf numFmtId="0" fontId="13" fillId="17" borderId="12" xfId="0" applyFont="1" applyFill="1" applyBorder="1" applyAlignment="1">
      <alignment horizontal="center" vertical="center" wrapText="1"/>
    </xf>
    <xf numFmtId="0" fontId="13" fillId="17" borderId="50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6" borderId="46" xfId="0" applyFont="1" applyFill="1" applyBorder="1" applyAlignment="1">
      <alignment horizontal="center" vertical="center" wrapText="1"/>
    </xf>
    <xf numFmtId="0" fontId="13" fillId="6" borderId="5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49" fontId="36" fillId="0" borderId="0" xfId="0" applyNumberFormat="1" applyFont="1">
      <alignment vertical="center"/>
    </xf>
    <xf numFmtId="0" fontId="53" fillId="17" borderId="0" xfId="2" applyFont="1" applyFill="1">
      <alignment vertical="center"/>
    </xf>
    <xf numFmtId="0" fontId="53" fillId="17" borderId="0" xfId="2" applyFont="1" applyFill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54" fillId="4" borderId="65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54" fillId="4" borderId="5" xfId="0" applyFont="1" applyFill="1" applyBorder="1">
      <alignment vertical="center"/>
    </xf>
    <xf numFmtId="0" fontId="58" fillId="4" borderId="10" xfId="0" applyFont="1" applyFill="1" applyBorder="1">
      <alignment vertical="center"/>
    </xf>
    <xf numFmtId="0" fontId="54" fillId="4" borderId="40" xfId="0" applyFont="1" applyFill="1" applyBorder="1">
      <alignment vertical="center"/>
    </xf>
    <xf numFmtId="0" fontId="54" fillId="4" borderId="10" xfId="0" applyFont="1" applyFill="1" applyBorder="1">
      <alignment vertical="center"/>
    </xf>
    <xf numFmtId="0" fontId="54" fillId="4" borderId="52" xfId="0" applyFont="1" applyFill="1" applyBorder="1">
      <alignment vertical="center"/>
    </xf>
    <xf numFmtId="0" fontId="54" fillId="4" borderId="53" xfId="0" applyFont="1" applyFill="1" applyBorder="1">
      <alignment vertical="center"/>
    </xf>
    <xf numFmtId="0" fontId="58" fillId="4" borderId="54" xfId="0" applyFont="1" applyFill="1" applyBorder="1">
      <alignment vertical="center"/>
    </xf>
    <xf numFmtId="0" fontId="54" fillId="4" borderId="55" xfId="0" applyFont="1" applyFill="1" applyBorder="1">
      <alignment vertical="center"/>
    </xf>
    <xf numFmtId="0" fontId="54" fillId="4" borderId="54" xfId="0" applyFont="1" applyFill="1" applyBorder="1">
      <alignment vertical="center"/>
    </xf>
    <xf numFmtId="0" fontId="54" fillId="4" borderId="1" xfId="0" applyFont="1" applyFill="1" applyBorder="1">
      <alignment vertical="center"/>
    </xf>
    <xf numFmtId="0" fontId="54" fillId="4" borderId="2" xfId="0" applyFont="1" applyFill="1" applyBorder="1">
      <alignment vertical="center"/>
    </xf>
    <xf numFmtId="0" fontId="54" fillId="4" borderId="3" xfId="0" applyFont="1" applyFill="1" applyBorder="1">
      <alignment vertical="center"/>
    </xf>
    <xf numFmtId="0" fontId="54" fillId="4" borderId="4" xfId="0" applyFont="1" applyFill="1" applyBorder="1">
      <alignment vertical="center"/>
    </xf>
    <xf numFmtId="0" fontId="54" fillId="4" borderId="20" xfId="0" applyFont="1" applyFill="1" applyBorder="1">
      <alignment vertical="center"/>
    </xf>
    <xf numFmtId="0" fontId="58" fillId="4" borderId="17" xfId="0" applyFont="1" applyFill="1" applyBorder="1">
      <alignment vertical="center"/>
    </xf>
    <xf numFmtId="0" fontId="54" fillId="4" borderId="56" xfId="0" applyFont="1" applyFill="1" applyBorder="1">
      <alignment vertical="center"/>
    </xf>
    <xf numFmtId="0" fontId="58" fillId="2" borderId="14" xfId="5" applyFont="1" applyFill="1" applyBorder="1">
      <alignment vertical="center"/>
    </xf>
    <xf numFmtId="0" fontId="58" fillId="2" borderId="15" xfId="5" applyFont="1" applyFill="1" applyBorder="1" applyAlignment="1">
      <alignment horizontal="left" vertical="center"/>
    </xf>
    <xf numFmtId="0" fontId="58" fillId="2" borderId="15" xfId="5" applyFont="1" applyFill="1" applyBorder="1">
      <alignment vertical="center"/>
    </xf>
    <xf numFmtId="0" fontId="58" fillId="2" borderId="16" xfId="5" applyFont="1" applyFill="1" applyBorder="1">
      <alignment vertical="center"/>
    </xf>
    <xf numFmtId="0" fontId="54" fillId="4" borderId="67" xfId="0" applyFont="1" applyFill="1" applyBorder="1" applyAlignment="1">
      <alignment vertical="center" wrapText="1"/>
    </xf>
    <xf numFmtId="0" fontId="54" fillId="4" borderId="14" xfId="0" applyFont="1" applyFill="1" applyBorder="1">
      <alignment vertical="center"/>
    </xf>
    <xf numFmtId="0" fontId="54" fillId="4" borderId="15" xfId="0" applyFont="1" applyFill="1" applyBorder="1">
      <alignment vertical="center"/>
    </xf>
    <xf numFmtId="0" fontId="54" fillId="4" borderId="16" xfId="0" applyFont="1" applyFill="1" applyBorder="1">
      <alignment vertical="center"/>
    </xf>
    <xf numFmtId="0" fontId="30" fillId="0" borderId="0" xfId="0" applyFont="1" applyProtection="1">
      <alignment vertical="center"/>
      <protection locked="0"/>
    </xf>
    <xf numFmtId="0" fontId="58" fillId="2" borderId="37" xfId="5" applyFont="1" applyFill="1" applyBorder="1">
      <alignment vertical="center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54" fillId="4" borderId="76" xfId="0" applyFont="1" applyFill="1" applyBorder="1" applyAlignment="1">
      <alignment horizontal="left" vertical="center" wrapText="1"/>
    </xf>
    <xf numFmtId="0" fontId="54" fillId="4" borderId="76" xfId="0" applyFont="1" applyFill="1" applyBorder="1" applyAlignment="1">
      <alignment vertical="center" wrapText="1"/>
    </xf>
    <xf numFmtId="0" fontId="70" fillId="9" borderId="5" xfId="0" applyFont="1" applyFill="1" applyBorder="1" applyAlignment="1">
      <alignment horizontal="left" vertical="center"/>
    </xf>
    <xf numFmtId="0" fontId="54" fillId="4" borderId="78" xfId="0" applyFont="1" applyFill="1" applyBorder="1" applyAlignment="1">
      <alignment horizontal="left" vertical="center" wrapText="1"/>
    </xf>
    <xf numFmtId="0" fontId="54" fillId="4" borderId="79" xfId="0" applyFont="1" applyFill="1" applyBorder="1" applyAlignment="1">
      <alignment vertical="center" wrapText="1"/>
    </xf>
    <xf numFmtId="0" fontId="54" fillId="4" borderId="80" xfId="0" applyFont="1" applyFill="1" applyBorder="1" applyAlignment="1">
      <alignment vertical="center" wrapText="1"/>
    </xf>
    <xf numFmtId="0" fontId="54" fillId="4" borderId="20" xfId="0" applyFont="1" applyFill="1" applyBorder="1" applyAlignment="1">
      <alignment horizontal="left" vertical="center" wrapText="1"/>
    </xf>
    <xf numFmtId="0" fontId="54" fillId="4" borderId="20" xfId="0" applyFont="1" applyFill="1" applyBorder="1" applyAlignment="1">
      <alignment vertical="center" wrapText="1"/>
    </xf>
    <xf numFmtId="0" fontId="54" fillId="4" borderId="56" xfId="0" applyFont="1" applyFill="1" applyBorder="1" applyAlignment="1">
      <alignment vertical="center" wrapText="1"/>
    </xf>
    <xf numFmtId="0" fontId="70" fillId="9" borderId="5" xfId="0" applyFont="1" applyFill="1" applyBorder="1">
      <alignment vertical="center"/>
    </xf>
    <xf numFmtId="0" fontId="70" fillId="8" borderId="5" xfId="0" applyFont="1" applyFill="1" applyBorder="1">
      <alignment vertical="center"/>
    </xf>
    <xf numFmtId="0" fontId="70" fillId="8" borderId="5" xfId="0" applyFont="1" applyFill="1" applyBorder="1" applyAlignment="1">
      <alignment horizontal="left" vertical="center"/>
    </xf>
    <xf numFmtId="0" fontId="80" fillId="0" borderId="0" xfId="8" applyFont="1" applyFill="1" applyBorder="1" applyAlignment="1" applyProtection="1">
      <alignment horizontal="center" vertical="center"/>
    </xf>
    <xf numFmtId="0" fontId="70" fillId="17" borderId="5" xfId="0" applyFont="1" applyFill="1" applyBorder="1">
      <alignment vertical="center"/>
    </xf>
    <xf numFmtId="0" fontId="70" fillId="17" borderId="5" xfId="0" applyFont="1" applyFill="1" applyBorder="1" applyAlignment="1">
      <alignment horizontal="left" vertical="center"/>
    </xf>
    <xf numFmtId="0" fontId="14" fillId="9" borderId="8" xfId="5" applyFont="1" applyFill="1" applyBorder="1" applyAlignment="1">
      <alignment vertical="center" wrapText="1"/>
    </xf>
    <xf numFmtId="0" fontId="14" fillId="9" borderId="18" xfId="5" applyFont="1" applyFill="1" applyBorder="1" applyAlignment="1">
      <alignment horizontal="left" vertical="center" wrapText="1"/>
    </xf>
    <xf numFmtId="0" fontId="14" fillId="9" borderId="18" xfId="5" applyFont="1" applyFill="1" applyBorder="1" applyAlignment="1">
      <alignment vertical="center" wrapText="1"/>
    </xf>
    <xf numFmtId="0" fontId="14" fillId="9" borderId="11" xfId="5" applyFont="1" applyFill="1" applyBorder="1" applyAlignment="1">
      <alignment vertical="center" wrapText="1"/>
    </xf>
    <xf numFmtId="0" fontId="11" fillId="0" borderId="0" xfId="5" applyFont="1" applyAlignment="1">
      <alignment vertical="center" wrapText="1"/>
    </xf>
    <xf numFmtId="0" fontId="14" fillId="9" borderId="5" xfId="5" applyFont="1" applyFill="1" applyBorder="1" applyAlignment="1">
      <alignment vertical="center" wrapText="1"/>
    </xf>
    <xf numFmtId="0" fontId="14" fillId="9" borderId="56" xfId="5" applyFont="1" applyFill="1" applyBorder="1" applyAlignment="1">
      <alignment vertical="center" wrapText="1"/>
    </xf>
    <xf numFmtId="0" fontId="11" fillId="0" borderId="0" xfId="5" applyFont="1">
      <alignment vertical="center"/>
    </xf>
    <xf numFmtId="0" fontId="14" fillId="8" borderId="8" xfId="5" applyFont="1" applyFill="1" applyBorder="1" applyAlignment="1">
      <alignment vertical="center" wrapText="1"/>
    </xf>
    <xf numFmtId="0" fontId="14" fillId="8" borderId="18" xfId="5" applyFont="1" applyFill="1" applyBorder="1" applyAlignment="1">
      <alignment horizontal="left" vertical="center" wrapText="1"/>
    </xf>
    <xf numFmtId="0" fontId="14" fillId="8" borderId="18" xfId="5" applyFont="1" applyFill="1" applyBorder="1" applyAlignment="1">
      <alignment vertical="center" wrapText="1"/>
    </xf>
    <xf numFmtId="0" fontId="14" fillId="8" borderId="5" xfId="5" applyFont="1" applyFill="1" applyBorder="1" applyAlignment="1">
      <alignment vertical="center" wrapText="1"/>
    </xf>
    <xf numFmtId="0" fontId="14" fillId="17" borderId="8" xfId="5" applyFont="1" applyFill="1" applyBorder="1" applyAlignment="1">
      <alignment vertical="center" wrapText="1"/>
    </xf>
    <xf numFmtId="0" fontId="14" fillId="17" borderId="18" xfId="5" applyFont="1" applyFill="1" applyBorder="1" applyAlignment="1">
      <alignment horizontal="left" vertical="center" wrapText="1"/>
    </xf>
    <xf numFmtId="0" fontId="14" fillId="17" borderId="18" xfId="5" applyFont="1" applyFill="1" applyBorder="1" applyAlignment="1">
      <alignment vertical="center" wrapText="1"/>
    </xf>
    <xf numFmtId="0" fontId="30" fillId="0" borderId="0" xfId="5" applyFont="1" applyAlignment="1">
      <alignment vertical="center" wrapText="1"/>
    </xf>
    <xf numFmtId="0" fontId="14" fillId="17" borderId="5" xfId="5" applyFont="1" applyFill="1" applyBorder="1" applyAlignment="1">
      <alignment vertical="center" wrapText="1"/>
    </xf>
    <xf numFmtId="0" fontId="30" fillId="0" borderId="0" xfId="5" applyFont="1">
      <alignment vertical="center"/>
    </xf>
    <xf numFmtId="0" fontId="14" fillId="7" borderId="5" xfId="0" applyFont="1" applyFill="1" applyBorder="1">
      <alignment vertical="center"/>
    </xf>
    <xf numFmtId="0" fontId="14" fillId="6" borderId="8" xfId="0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14" fillId="9" borderId="65" xfId="0" applyFont="1" applyFill="1" applyBorder="1" applyAlignment="1">
      <alignment vertical="center" wrapText="1"/>
    </xf>
    <xf numFmtId="0" fontId="14" fillId="9" borderId="68" xfId="0" applyFont="1" applyFill="1" applyBorder="1" applyAlignment="1">
      <alignment vertical="center" wrapText="1"/>
    </xf>
    <xf numFmtId="0" fontId="14" fillId="8" borderId="65" xfId="0" applyFont="1" applyFill="1" applyBorder="1" applyAlignment="1">
      <alignment vertical="center" wrapText="1"/>
    </xf>
    <xf numFmtId="0" fontId="14" fillId="8" borderId="68" xfId="0" applyFont="1" applyFill="1" applyBorder="1" applyAlignment="1">
      <alignment vertical="center" wrapText="1"/>
    </xf>
    <xf numFmtId="0" fontId="14" fillId="17" borderId="65" xfId="0" applyFont="1" applyFill="1" applyBorder="1" applyAlignment="1">
      <alignment vertical="center" wrapText="1"/>
    </xf>
    <xf numFmtId="0" fontId="14" fillId="17" borderId="68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9" borderId="5" xfId="0" applyFont="1" applyFill="1" applyBorder="1" applyAlignment="1">
      <alignment vertical="center" wrapText="1"/>
    </xf>
    <xf numFmtId="0" fontId="14" fillId="9" borderId="12" xfId="0" applyFont="1" applyFill="1" applyBorder="1" applyAlignment="1">
      <alignment vertical="center" wrapText="1"/>
    </xf>
    <xf numFmtId="0" fontId="14" fillId="8" borderId="5" xfId="0" applyFont="1" applyFill="1" applyBorder="1" applyAlignment="1">
      <alignment vertical="center" wrapText="1"/>
    </xf>
    <xf numFmtId="0" fontId="14" fillId="8" borderId="12" xfId="0" applyFont="1" applyFill="1" applyBorder="1" applyAlignment="1">
      <alignment vertical="center" wrapText="1"/>
    </xf>
    <xf numFmtId="0" fontId="14" fillId="17" borderId="5" xfId="0" applyFont="1" applyFill="1" applyBorder="1" applyAlignment="1">
      <alignment vertical="center" wrapText="1"/>
    </xf>
    <xf numFmtId="0" fontId="14" fillId="17" borderId="12" xfId="0" applyFont="1" applyFill="1" applyBorder="1" applyAlignment="1">
      <alignment vertical="center" wrapText="1"/>
    </xf>
    <xf numFmtId="0" fontId="14" fillId="7" borderId="12" xfId="0" applyFont="1" applyFill="1" applyBorder="1" applyAlignment="1">
      <alignment vertical="center" wrapText="1"/>
    </xf>
    <xf numFmtId="0" fontId="14" fillId="6" borderId="5" xfId="0" applyFont="1" applyFill="1" applyBorder="1" applyAlignment="1">
      <alignment vertical="center" wrapText="1"/>
    </xf>
    <xf numFmtId="0" fontId="14" fillId="6" borderId="12" xfId="0" applyFont="1" applyFill="1" applyBorder="1" applyAlignment="1">
      <alignment vertical="center" wrapText="1"/>
    </xf>
    <xf numFmtId="0" fontId="14" fillId="0" borderId="0" xfId="0" applyFont="1" applyProtection="1">
      <alignment vertical="center"/>
      <protection locked="0"/>
    </xf>
    <xf numFmtId="0" fontId="14" fillId="9" borderId="42" xfId="0" applyFont="1" applyFill="1" applyBorder="1" applyAlignment="1">
      <alignment vertical="center" wrapText="1"/>
    </xf>
    <xf numFmtId="0" fontId="14" fillId="8" borderId="40" xfId="0" applyFont="1" applyFill="1" applyBorder="1" applyAlignment="1">
      <alignment vertical="center" wrapText="1"/>
    </xf>
    <xf numFmtId="0" fontId="14" fillId="8" borderId="42" xfId="0" applyFont="1" applyFill="1" applyBorder="1" applyAlignment="1">
      <alignment vertical="center" wrapText="1"/>
    </xf>
    <xf numFmtId="0" fontId="14" fillId="17" borderId="42" xfId="0" applyFont="1" applyFill="1" applyBorder="1" applyAlignment="1">
      <alignment vertical="center" wrapText="1"/>
    </xf>
    <xf numFmtId="0" fontId="14" fillId="7" borderId="42" xfId="0" applyFont="1" applyFill="1" applyBorder="1" applyAlignment="1">
      <alignment vertical="center" wrapText="1"/>
    </xf>
    <xf numFmtId="0" fontId="14" fillId="6" borderId="40" xfId="0" applyFont="1" applyFill="1" applyBorder="1" applyAlignment="1">
      <alignment vertical="center" wrapText="1"/>
    </xf>
    <xf numFmtId="0" fontId="14" fillId="6" borderId="42" xfId="0" applyFont="1" applyFill="1" applyBorder="1" applyAlignment="1">
      <alignment vertical="center" wrapText="1"/>
    </xf>
    <xf numFmtId="49" fontId="30" fillId="0" borderId="0" xfId="0" applyNumberFormat="1" applyFont="1">
      <alignment vertical="center"/>
    </xf>
    <xf numFmtId="0" fontId="14" fillId="9" borderId="8" xfId="0" applyFont="1" applyFill="1" applyBorder="1" applyAlignment="1">
      <alignment vertical="center" wrapText="1"/>
    </xf>
    <xf numFmtId="0" fontId="14" fillId="17" borderId="8" xfId="0" applyFont="1" applyFill="1" applyBorder="1" applyAlignment="1">
      <alignment vertical="center" wrapText="1"/>
    </xf>
    <xf numFmtId="0" fontId="14" fillId="7" borderId="8" xfId="0" applyFont="1" applyFill="1" applyBorder="1" applyAlignment="1">
      <alignment vertical="center" wrapText="1"/>
    </xf>
    <xf numFmtId="0" fontId="14" fillId="7" borderId="11" xfId="0" applyFont="1" applyFill="1" applyBorder="1" applyAlignment="1">
      <alignment vertical="center" wrapText="1"/>
    </xf>
    <xf numFmtId="0" fontId="14" fillId="8" borderId="18" xfId="0" applyFont="1" applyFill="1" applyBorder="1" applyAlignment="1">
      <alignment vertical="center" wrapText="1"/>
    </xf>
    <xf numFmtId="0" fontId="14" fillId="17" borderId="11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vertical="center" wrapText="1"/>
    </xf>
    <xf numFmtId="0" fontId="14" fillId="7" borderId="8" xfId="0" applyFont="1" applyFill="1" applyBorder="1">
      <alignment vertical="center"/>
    </xf>
    <xf numFmtId="0" fontId="14" fillId="16" borderId="8" xfId="0" applyFont="1" applyFill="1" applyBorder="1">
      <alignment vertical="center"/>
    </xf>
    <xf numFmtId="0" fontId="41" fillId="12" borderId="77" xfId="0" applyFont="1" applyFill="1" applyBorder="1">
      <alignment vertical="center"/>
    </xf>
    <xf numFmtId="0" fontId="8" fillId="3" borderId="0" xfId="0" applyFont="1" applyFill="1" applyAlignment="1">
      <alignment vertical="center" wrapText="1"/>
    </xf>
    <xf numFmtId="49" fontId="30" fillId="17" borderId="0" xfId="0" applyNumberFormat="1" applyFont="1" applyFill="1" applyAlignment="1">
      <alignment horizontal="center" vertical="center"/>
    </xf>
    <xf numFmtId="0" fontId="69" fillId="9" borderId="38" xfId="0" applyFont="1" applyFill="1" applyBorder="1" applyAlignment="1">
      <alignment horizontal="left" vertical="center"/>
    </xf>
    <xf numFmtId="0" fontId="86" fillId="9" borderId="0" xfId="14" applyFont="1" applyFill="1">
      <alignment vertical="center"/>
    </xf>
    <xf numFmtId="0" fontId="86" fillId="8" borderId="0" xfId="14" applyFont="1" applyFill="1">
      <alignment vertical="center"/>
    </xf>
    <xf numFmtId="0" fontId="86" fillId="17" borderId="0" xfId="14" applyFont="1" applyFill="1">
      <alignment vertical="center"/>
    </xf>
    <xf numFmtId="0" fontId="86" fillId="7" borderId="0" xfId="14" applyFont="1" applyFill="1">
      <alignment vertical="center"/>
    </xf>
    <xf numFmtId="0" fontId="54" fillId="4" borderId="0" xfId="9" applyFont="1" applyFill="1">
      <alignment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3" fillId="0" borderId="0" xfId="14" applyFont="1">
      <alignment vertical="center"/>
    </xf>
    <xf numFmtId="0" fontId="13" fillId="0" borderId="0" xfId="9" applyFont="1">
      <alignment vertical="center"/>
    </xf>
    <xf numFmtId="0" fontId="41" fillId="12" borderId="77" xfId="0" applyFont="1" applyFill="1" applyBorder="1" applyAlignment="1">
      <alignment horizontal="center" vertical="center"/>
    </xf>
    <xf numFmtId="0" fontId="54" fillId="4" borderId="14" xfId="9" applyFont="1" applyFill="1" applyBorder="1" applyAlignment="1">
      <alignment horizontal="center" vertical="center"/>
    </xf>
    <xf numFmtId="0" fontId="84" fillId="0" borderId="8" xfId="0" applyFont="1" applyBorder="1" applyAlignment="1">
      <alignment horizontal="center" vertical="center"/>
    </xf>
    <xf numFmtId="0" fontId="92" fillId="0" borderId="8" xfId="0" applyFont="1" applyBorder="1" applyAlignment="1">
      <alignment horizontal="center" vertical="center"/>
    </xf>
    <xf numFmtId="0" fontId="96" fillId="0" borderId="8" xfId="0" applyFont="1" applyBorder="1" applyAlignment="1">
      <alignment horizontal="center" vertical="center"/>
    </xf>
    <xf numFmtId="0" fontId="54" fillId="4" borderId="16" xfId="9" applyFont="1" applyFill="1" applyBorder="1" applyAlignment="1">
      <alignment horizontal="center" vertical="center"/>
    </xf>
    <xf numFmtId="0" fontId="54" fillId="4" borderId="15" xfId="9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17" borderId="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0" fontId="69" fillId="0" borderId="5" xfId="0" applyFont="1" applyBorder="1">
      <alignment vertical="center"/>
    </xf>
    <xf numFmtId="0" fontId="90" fillId="0" borderId="5" xfId="0" applyFont="1" applyBorder="1">
      <alignment vertical="center"/>
    </xf>
    <xf numFmtId="0" fontId="97" fillId="0" borderId="5" xfId="0" applyFont="1" applyBorder="1">
      <alignment vertical="center"/>
    </xf>
    <xf numFmtId="0" fontId="84" fillId="15" borderId="10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4" fillId="11" borderId="11" xfId="0" applyFont="1" applyFill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7" borderId="10" xfId="0" applyFont="1" applyFill="1" applyBorder="1" applyAlignment="1">
      <alignment horizontal="left" vertical="center"/>
    </xf>
    <xf numFmtId="0" fontId="14" fillId="0" borderId="0" xfId="1" applyFont="1">
      <alignment vertical="center"/>
    </xf>
    <xf numFmtId="0" fontId="6" fillId="0" borderId="0" xfId="1">
      <alignment vertical="center"/>
    </xf>
    <xf numFmtId="0" fontId="54" fillId="4" borderId="0" xfId="22" applyFont="1" applyFill="1">
      <alignment vertical="center"/>
    </xf>
    <xf numFmtId="0" fontId="88" fillId="0" borderId="0" xfId="22" applyFont="1">
      <alignment vertical="center"/>
    </xf>
    <xf numFmtId="0" fontId="78" fillId="0" borderId="0" xfId="22" applyFont="1">
      <alignment vertical="center"/>
    </xf>
    <xf numFmtId="0" fontId="91" fillId="0" borderId="0" xfId="23" applyFont="1">
      <alignment vertical="center"/>
    </xf>
    <xf numFmtId="0" fontId="91" fillId="0" borderId="0" xfId="22" applyFont="1">
      <alignment vertical="center"/>
    </xf>
    <xf numFmtId="0" fontId="88" fillId="9" borderId="0" xfId="22" applyFont="1" applyFill="1">
      <alignment vertical="center"/>
    </xf>
    <xf numFmtId="0" fontId="89" fillId="0" borderId="0" xfId="22" applyFont="1">
      <alignment vertical="center"/>
    </xf>
    <xf numFmtId="0" fontId="94" fillId="0" borderId="0" xfId="1" applyFont="1">
      <alignment vertical="center"/>
    </xf>
    <xf numFmtId="0" fontId="94" fillId="0" borderId="0" xfId="22" applyFont="1">
      <alignment vertical="center"/>
    </xf>
    <xf numFmtId="0" fontId="13" fillId="0" borderId="0" xfId="1" applyFont="1">
      <alignment vertical="center"/>
    </xf>
    <xf numFmtId="0" fontId="13" fillId="9" borderId="0" xfId="1" applyFont="1" applyFill="1">
      <alignment vertical="center"/>
    </xf>
    <xf numFmtId="0" fontId="97" fillId="0" borderId="0" xfId="22" applyFont="1">
      <alignment vertical="center"/>
    </xf>
    <xf numFmtId="0" fontId="96" fillId="0" borderId="0" xfId="22" applyFont="1">
      <alignment vertical="center"/>
    </xf>
    <xf numFmtId="0" fontId="93" fillId="0" borderId="0" xfId="22" applyFont="1">
      <alignment vertical="center"/>
    </xf>
    <xf numFmtId="0" fontId="69" fillId="0" borderId="0" xfId="22" applyFont="1">
      <alignment vertical="center"/>
    </xf>
    <xf numFmtId="0" fontId="84" fillId="0" borderId="0" xfId="22" applyFont="1">
      <alignment vertical="center"/>
    </xf>
    <xf numFmtId="0" fontId="90" fillId="0" borderId="0" xfId="22" applyFont="1">
      <alignment vertical="center"/>
    </xf>
    <xf numFmtId="0" fontId="92" fillId="0" borderId="0" xfId="22" applyFont="1">
      <alignment vertical="center"/>
    </xf>
    <xf numFmtId="0" fontId="8" fillId="0" borderId="0" xfId="1" applyFont="1">
      <alignment vertical="center"/>
    </xf>
    <xf numFmtId="0" fontId="84" fillId="0" borderId="0" xfId="1" applyFont="1">
      <alignment vertical="center"/>
    </xf>
    <xf numFmtId="0" fontId="84" fillId="0" borderId="0" xfId="23" applyFont="1">
      <alignment vertical="center"/>
    </xf>
    <xf numFmtId="0" fontId="88" fillId="8" borderId="0" xfId="22" applyFont="1" applyFill="1">
      <alignment vertical="center"/>
    </xf>
    <xf numFmtId="0" fontId="92" fillId="0" borderId="0" xfId="23" applyFont="1">
      <alignment vertical="center"/>
    </xf>
    <xf numFmtId="0" fontId="88" fillId="17" borderId="0" xfId="22" applyFont="1" applyFill="1">
      <alignment vertical="center"/>
    </xf>
    <xf numFmtId="0" fontId="13" fillId="17" borderId="0" xfId="1" applyFont="1" applyFill="1">
      <alignment vertical="center"/>
    </xf>
    <xf numFmtId="0" fontId="95" fillId="0" borderId="0" xfId="1" applyFont="1">
      <alignment vertical="center"/>
    </xf>
    <xf numFmtId="0" fontId="95" fillId="0" borderId="0" xfId="22" applyFont="1">
      <alignment vertical="center"/>
    </xf>
    <xf numFmtId="0" fontId="91" fillId="0" borderId="0" xfId="1" applyFont="1">
      <alignment vertical="center"/>
    </xf>
    <xf numFmtId="0" fontId="88" fillId="7" borderId="0" xfId="22" applyFont="1" applyFill="1">
      <alignment vertical="center"/>
    </xf>
    <xf numFmtId="0" fontId="13" fillId="7" borderId="0" xfId="1" applyFont="1" applyFill="1">
      <alignment vertical="center"/>
    </xf>
    <xf numFmtId="0" fontId="88" fillId="6" borderId="0" xfId="22" applyFont="1" applyFill="1">
      <alignment vertical="center"/>
    </xf>
    <xf numFmtId="0" fontId="84" fillId="15" borderId="0" xfId="22" applyFont="1" applyFill="1">
      <alignment vertical="center"/>
    </xf>
    <xf numFmtId="0" fontId="13" fillId="6" borderId="0" xfId="1" applyFont="1" applyFill="1">
      <alignment vertical="center"/>
    </xf>
    <xf numFmtId="0" fontId="88" fillId="16" borderId="0" xfId="22" applyFont="1" applyFill="1">
      <alignment vertical="center"/>
    </xf>
    <xf numFmtId="0" fontId="13" fillId="16" borderId="0" xfId="1" applyFont="1" applyFill="1">
      <alignment vertical="center"/>
    </xf>
    <xf numFmtId="0" fontId="11" fillId="0" borderId="0" xfId="1" applyFont="1">
      <alignment vertical="center"/>
    </xf>
    <xf numFmtId="0" fontId="87" fillId="0" borderId="0" xfId="1" applyFont="1">
      <alignment vertical="center"/>
    </xf>
    <xf numFmtId="0" fontId="13" fillId="6" borderId="21" xfId="0" applyFont="1" applyFill="1" applyBorder="1">
      <alignment vertical="center"/>
    </xf>
    <xf numFmtId="0" fontId="91" fillId="0" borderId="8" xfId="0" applyFont="1" applyBorder="1" applyAlignment="1">
      <alignment horizontal="center" vertical="center"/>
    </xf>
    <xf numFmtId="0" fontId="78" fillId="0" borderId="5" xfId="0" applyFont="1" applyBorder="1">
      <alignment vertical="center"/>
    </xf>
    <xf numFmtId="0" fontId="100" fillId="0" borderId="8" xfId="0" applyFont="1" applyBorder="1" applyAlignment="1">
      <alignment horizontal="center" vertical="center"/>
    </xf>
    <xf numFmtId="0" fontId="101" fillId="0" borderId="5" xfId="0" applyFont="1" applyBorder="1">
      <alignment vertical="center"/>
    </xf>
    <xf numFmtId="0" fontId="100" fillId="0" borderId="11" xfId="0" applyFont="1" applyBorder="1" applyAlignment="1">
      <alignment horizontal="center" vertical="center"/>
    </xf>
    <xf numFmtId="0" fontId="101" fillId="0" borderId="12" xfId="0" applyFont="1" applyBorder="1">
      <alignment vertical="center"/>
    </xf>
    <xf numFmtId="0" fontId="13" fillId="16" borderId="5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0" fillId="0" borderId="19" xfId="0" applyFont="1" applyBorder="1" applyAlignment="1">
      <alignment horizontal="center" vertical="center"/>
    </xf>
    <xf numFmtId="0" fontId="101" fillId="0" borderId="21" xfId="0" applyFont="1" applyBorder="1">
      <alignment vertical="center"/>
    </xf>
    <xf numFmtId="0" fontId="13" fillId="17" borderId="69" xfId="0" applyFont="1" applyFill="1" applyBorder="1" applyAlignment="1">
      <alignment vertical="center" wrapText="1"/>
    </xf>
    <xf numFmtId="0" fontId="14" fillId="9" borderId="34" xfId="0" applyFont="1" applyFill="1" applyBorder="1" applyAlignment="1">
      <alignment horizontal="left" vertical="center"/>
    </xf>
    <xf numFmtId="0" fontId="14" fillId="11" borderId="8" xfId="0" applyFont="1" applyFill="1" applyBorder="1" applyAlignment="1">
      <alignment horizontal="left" vertical="center"/>
    </xf>
    <xf numFmtId="0" fontId="13" fillId="6" borderId="0" xfId="0" applyFont="1" applyFill="1">
      <alignment vertical="center"/>
    </xf>
    <xf numFmtId="0" fontId="13" fillId="6" borderId="0" xfId="9" applyFont="1" applyFill="1">
      <alignment vertical="center"/>
    </xf>
    <xf numFmtId="0" fontId="13" fillId="8" borderId="0" xfId="0" applyFont="1" applyFill="1">
      <alignment vertical="center"/>
    </xf>
    <xf numFmtId="0" fontId="13" fillId="8" borderId="0" xfId="9" applyFont="1" applyFill="1">
      <alignment vertical="center"/>
    </xf>
    <xf numFmtId="0" fontId="13" fillId="9" borderId="0" xfId="9" applyFont="1" applyFill="1">
      <alignment vertical="center"/>
    </xf>
    <xf numFmtId="0" fontId="13" fillId="20" borderId="0" xfId="14" applyFont="1" applyFill="1">
      <alignment vertical="center"/>
    </xf>
    <xf numFmtId="0" fontId="13" fillId="20" borderId="0" xfId="9" applyFont="1" applyFill="1">
      <alignment vertical="center"/>
    </xf>
    <xf numFmtId="0" fontId="13" fillId="20" borderId="0" xfId="0" applyFont="1" applyFill="1">
      <alignment vertical="center"/>
    </xf>
    <xf numFmtId="0" fontId="13" fillId="9" borderId="9" xfId="0" applyFont="1" applyFill="1" applyBorder="1">
      <alignment vertical="center"/>
    </xf>
    <xf numFmtId="0" fontId="31" fillId="9" borderId="10" xfId="0" applyFont="1" applyFill="1" applyBorder="1">
      <alignment vertical="center"/>
    </xf>
    <xf numFmtId="0" fontId="102" fillId="8" borderId="10" xfId="8" applyFont="1" applyFill="1" applyBorder="1">
      <alignment vertical="center"/>
    </xf>
    <xf numFmtId="0" fontId="103" fillId="0" borderId="0" xfId="8" applyFont="1" applyFill="1" applyBorder="1" applyAlignment="1" applyProtection="1">
      <alignment horizontal="center" vertical="center"/>
    </xf>
    <xf numFmtId="0" fontId="54" fillId="4" borderId="44" xfId="0" applyFont="1" applyFill="1" applyBorder="1">
      <alignment vertical="center"/>
    </xf>
    <xf numFmtId="0" fontId="13" fillId="7" borderId="9" xfId="0" applyFont="1" applyFill="1" applyBorder="1" applyAlignment="1">
      <alignment horizontal="left" vertical="center" wrapText="1"/>
    </xf>
    <xf numFmtId="0" fontId="13" fillId="8" borderId="20" xfId="5" applyFont="1" applyFill="1" applyBorder="1" applyAlignment="1">
      <alignment horizontal="left" vertical="center" wrapText="1"/>
    </xf>
    <xf numFmtId="0" fontId="13" fillId="9" borderId="0" xfId="14" applyFont="1" applyFill="1">
      <alignment vertical="center"/>
    </xf>
    <xf numFmtId="0" fontId="13" fillId="7" borderId="0" xfId="0" applyFont="1" applyFill="1">
      <alignment vertical="center"/>
    </xf>
    <xf numFmtId="0" fontId="13" fillId="7" borderId="0" xfId="9" applyFont="1" applyFill="1">
      <alignment vertical="center"/>
    </xf>
    <xf numFmtId="0" fontId="104" fillId="0" borderId="0" xfId="0" applyFont="1">
      <alignment vertical="center"/>
    </xf>
    <xf numFmtId="0" fontId="11" fillId="0" borderId="0" xfId="0" applyFont="1">
      <alignment vertical="center"/>
    </xf>
    <xf numFmtId="0" fontId="15" fillId="15" borderId="28" xfId="0" applyFont="1" applyFill="1" applyBorder="1" applyAlignment="1">
      <alignment horizontal="center" vertical="center"/>
    </xf>
    <xf numFmtId="0" fontId="15" fillId="15" borderId="29" xfId="0" applyFont="1" applyFill="1" applyBorder="1" applyAlignment="1">
      <alignment horizontal="center" vertical="center"/>
    </xf>
    <xf numFmtId="0" fontId="15" fillId="15" borderId="3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65" fillId="0" borderId="0" xfId="0" applyFont="1" applyAlignment="1">
      <alignment horizontal="left" vertical="center"/>
    </xf>
    <xf numFmtId="0" fontId="59" fillId="4" borderId="34" xfId="0" applyFont="1" applyFill="1" applyBorder="1" applyAlignment="1">
      <alignment horizontal="left" vertical="center"/>
    </xf>
    <xf numFmtId="0" fontId="59" fillId="4" borderId="35" xfId="0" applyFont="1" applyFill="1" applyBorder="1" applyAlignment="1">
      <alignment horizontal="left" vertical="center"/>
    </xf>
    <xf numFmtId="0" fontId="31" fillId="13" borderId="43" xfId="0" applyFont="1" applyFill="1" applyBorder="1" applyAlignment="1">
      <alignment horizontal="center" vertical="center"/>
    </xf>
    <xf numFmtId="0" fontId="31" fillId="13" borderId="39" xfId="0" applyFont="1" applyFill="1" applyBorder="1" applyAlignment="1">
      <alignment horizontal="center" vertical="center"/>
    </xf>
    <xf numFmtId="0" fontId="31" fillId="13" borderId="41" xfId="0" applyFont="1" applyFill="1" applyBorder="1" applyAlignment="1">
      <alignment horizontal="center" vertical="center"/>
    </xf>
    <xf numFmtId="0" fontId="31" fillId="6" borderId="44" xfId="0" applyFont="1" applyFill="1" applyBorder="1" applyAlignment="1">
      <alignment horizontal="center" vertical="center"/>
    </xf>
    <xf numFmtId="0" fontId="31" fillId="6" borderId="45" xfId="0" applyFont="1" applyFill="1" applyBorder="1" applyAlignment="1">
      <alignment horizontal="center" vertical="center"/>
    </xf>
    <xf numFmtId="0" fontId="31" fillId="6" borderId="47" xfId="0" applyFont="1" applyFill="1" applyBorder="1" applyAlignment="1">
      <alignment horizontal="center" vertical="center"/>
    </xf>
    <xf numFmtId="0" fontId="31" fillId="9" borderId="48" xfId="0" applyFont="1" applyFill="1" applyBorder="1" applyAlignment="1">
      <alignment horizontal="center" vertical="center"/>
    </xf>
    <xf numFmtId="0" fontId="31" fillId="9" borderId="35" xfId="0" applyFont="1" applyFill="1" applyBorder="1" applyAlignment="1">
      <alignment horizontal="center" vertical="center"/>
    </xf>
    <xf numFmtId="0" fontId="31" fillId="8" borderId="48" xfId="0" applyFont="1" applyFill="1" applyBorder="1" applyAlignment="1">
      <alignment horizontal="center" vertical="center"/>
    </xf>
    <xf numFmtId="0" fontId="31" fillId="8" borderId="35" xfId="0" applyFont="1" applyFill="1" applyBorder="1" applyAlignment="1">
      <alignment horizontal="center" vertical="center"/>
    </xf>
    <xf numFmtId="0" fontId="63" fillId="18" borderId="28" xfId="0" applyFont="1" applyFill="1" applyBorder="1" applyAlignment="1">
      <alignment horizontal="center" vertical="center"/>
    </xf>
    <xf numFmtId="0" fontId="63" fillId="18" borderId="29" xfId="0" applyFont="1" applyFill="1" applyBorder="1" applyAlignment="1">
      <alignment horizontal="center" vertical="center"/>
    </xf>
    <xf numFmtId="0" fontId="63" fillId="18" borderId="30" xfId="0" applyFont="1" applyFill="1" applyBorder="1" applyAlignment="1">
      <alignment horizontal="center" vertical="center"/>
    </xf>
    <xf numFmtId="0" fontId="57" fillId="18" borderId="28" xfId="0" applyFont="1" applyFill="1" applyBorder="1" applyAlignment="1">
      <alignment horizontal="center" vertical="center"/>
    </xf>
    <xf numFmtId="0" fontId="57" fillId="18" borderId="29" xfId="0" applyFont="1" applyFill="1" applyBorder="1" applyAlignment="1">
      <alignment horizontal="center" vertical="center"/>
    </xf>
    <xf numFmtId="0" fontId="57" fillId="18" borderId="30" xfId="0" applyFont="1" applyFill="1" applyBorder="1" applyAlignment="1">
      <alignment horizontal="center" vertical="center"/>
    </xf>
    <xf numFmtId="0" fontId="31" fillId="9" borderId="36" xfId="0" applyFont="1" applyFill="1" applyBorder="1" applyAlignment="1">
      <alignment horizontal="center" vertical="center"/>
    </xf>
    <xf numFmtId="0" fontId="31" fillId="9" borderId="39" xfId="0" applyFont="1" applyFill="1" applyBorder="1" applyAlignment="1">
      <alignment horizontal="center" vertical="center"/>
    </xf>
    <xf numFmtId="0" fontId="31" fillId="9" borderId="41" xfId="0" applyFont="1" applyFill="1" applyBorder="1" applyAlignment="1">
      <alignment horizontal="center" vertical="center"/>
    </xf>
    <xf numFmtId="0" fontId="31" fillId="8" borderId="36" xfId="0" applyFont="1" applyFill="1" applyBorder="1" applyAlignment="1">
      <alignment horizontal="center" vertical="center"/>
    </xf>
    <xf numFmtId="0" fontId="31" fillId="8" borderId="39" xfId="0" applyFont="1" applyFill="1" applyBorder="1" applyAlignment="1">
      <alignment horizontal="center" vertical="center"/>
    </xf>
    <xf numFmtId="0" fontId="31" fillId="8" borderId="41" xfId="0" applyFont="1" applyFill="1" applyBorder="1" applyAlignment="1">
      <alignment horizontal="center" vertical="center"/>
    </xf>
    <xf numFmtId="0" fontId="31" fillId="17" borderId="36" xfId="0" applyFont="1" applyFill="1" applyBorder="1" applyAlignment="1">
      <alignment horizontal="center" vertical="center"/>
    </xf>
    <xf numFmtId="0" fontId="31" fillId="17" borderId="39" xfId="0" applyFont="1" applyFill="1" applyBorder="1" applyAlignment="1">
      <alignment horizontal="center" vertical="center"/>
    </xf>
    <xf numFmtId="0" fontId="31" fillId="17" borderId="41" xfId="0" applyFont="1" applyFill="1" applyBorder="1" applyAlignment="1">
      <alignment horizontal="center" vertical="center"/>
    </xf>
    <xf numFmtId="0" fontId="67" fillId="14" borderId="28" xfId="0" applyFont="1" applyFill="1" applyBorder="1" applyAlignment="1">
      <alignment horizontal="center" vertical="center"/>
    </xf>
    <xf numFmtId="0" fontId="67" fillId="14" borderId="29" xfId="0" applyFont="1" applyFill="1" applyBorder="1" applyAlignment="1">
      <alignment horizontal="center" vertical="center"/>
    </xf>
    <xf numFmtId="0" fontId="67" fillId="14" borderId="30" xfId="0" applyFont="1" applyFill="1" applyBorder="1" applyAlignment="1">
      <alignment horizontal="center" vertical="center"/>
    </xf>
    <xf numFmtId="0" fontId="68" fillId="15" borderId="28" xfId="0" applyFont="1" applyFill="1" applyBorder="1" applyAlignment="1">
      <alignment horizontal="center" vertical="center"/>
    </xf>
    <xf numFmtId="0" fontId="68" fillId="15" borderId="29" xfId="0" applyFont="1" applyFill="1" applyBorder="1" applyAlignment="1">
      <alignment horizontal="center" vertical="center"/>
    </xf>
    <xf numFmtId="0" fontId="68" fillId="15" borderId="30" xfId="0" applyFont="1" applyFill="1" applyBorder="1" applyAlignment="1">
      <alignment horizontal="center" vertical="center"/>
    </xf>
    <xf numFmtId="0" fontId="44" fillId="15" borderId="28" xfId="0" applyFont="1" applyFill="1" applyBorder="1" applyAlignment="1">
      <alignment horizontal="center" vertical="center"/>
    </xf>
    <xf numFmtId="0" fontId="44" fillId="15" borderId="29" xfId="0" applyFont="1" applyFill="1" applyBorder="1" applyAlignment="1">
      <alignment horizontal="center" vertical="center"/>
    </xf>
    <xf numFmtId="0" fontId="44" fillId="15" borderId="30" xfId="0" applyFont="1" applyFill="1" applyBorder="1" applyAlignment="1">
      <alignment horizontal="center" vertical="center"/>
    </xf>
    <xf numFmtId="0" fontId="43" fillId="14" borderId="28" xfId="0" applyFont="1" applyFill="1" applyBorder="1" applyAlignment="1">
      <alignment horizontal="center" vertical="center"/>
    </xf>
    <xf numFmtId="0" fontId="43" fillId="14" borderId="29" xfId="0" applyFont="1" applyFill="1" applyBorder="1" applyAlignment="1">
      <alignment horizontal="center" vertical="center"/>
    </xf>
    <xf numFmtId="0" fontId="43" fillId="14" borderId="30" xfId="0" applyFont="1" applyFill="1" applyBorder="1" applyAlignment="1">
      <alignment horizontal="center" vertical="center"/>
    </xf>
    <xf numFmtId="0" fontId="38" fillId="10" borderId="28" xfId="0" applyFont="1" applyFill="1" applyBorder="1" applyAlignment="1">
      <alignment horizontal="center" vertical="center" wrapText="1"/>
    </xf>
    <xf numFmtId="0" fontId="38" fillId="10" borderId="29" xfId="0" applyFont="1" applyFill="1" applyBorder="1" applyAlignment="1">
      <alignment horizontal="center" vertical="center" wrapText="1"/>
    </xf>
    <xf numFmtId="0" fontId="38" fillId="10" borderId="30" xfId="0" applyFont="1" applyFill="1" applyBorder="1" applyAlignment="1">
      <alignment horizontal="center" vertical="center" wrapText="1"/>
    </xf>
    <xf numFmtId="0" fontId="13" fillId="9" borderId="20" xfId="5" applyFont="1" applyFill="1" applyBorder="1" applyAlignment="1">
      <alignment horizontal="left" vertical="center" wrapText="1"/>
    </xf>
    <xf numFmtId="0" fontId="13" fillId="9" borderId="24" xfId="5" applyFont="1" applyFill="1" applyBorder="1" applyAlignment="1">
      <alignment horizontal="left" vertical="center" wrapText="1"/>
    </xf>
    <xf numFmtId="0" fontId="13" fillId="9" borderId="21" xfId="5" applyFont="1" applyFill="1" applyBorder="1" applyAlignment="1">
      <alignment horizontal="left" vertical="center" wrapText="1"/>
    </xf>
    <xf numFmtId="0" fontId="32" fillId="0" borderId="31" xfId="5" applyFont="1" applyBorder="1" applyAlignment="1">
      <alignment vertical="center" wrapText="1"/>
    </xf>
    <xf numFmtId="0" fontId="32" fillId="0" borderId="32" xfId="5" applyFont="1" applyBorder="1" applyAlignment="1">
      <alignment vertical="center" wrapText="1"/>
    </xf>
    <xf numFmtId="0" fontId="32" fillId="0" borderId="33" xfId="5" applyFont="1" applyBorder="1" applyAlignment="1">
      <alignment vertical="center" wrapText="1"/>
    </xf>
    <xf numFmtId="0" fontId="29" fillId="0" borderId="28" xfId="5" applyFont="1" applyBorder="1" applyAlignment="1">
      <alignment vertical="center" wrapText="1"/>
    </xf>
    <xf numFmtId="0" fontId="29" fillId="0" borderId="29" xfId="5" applyFont="1" applyBorder="1" applyAlignment="1">
      <alignment vertical="center" wrapText="1"/>
    </xf>
    <xf numFmtId="0" fontId="29" fillId="0" borderId="30" xfId="5" applyFont="1" applyBorder="1" applyAlignment="1">
      <alignment vertical="center" wrapText="1"/>
    </xf>
    <xf numFmtId="0" fontId="32" fillId="0" borderId="22" xfId="5" applyFont="1" applyBorder="1" applyAlignment="1">
      <alignment vertical="center" wrapText="1"/>
    </xf>
    <xf numFmtId="0" fontId="32" fillId="0" borderId="0" xfId="5" applyFont="1" applyAlignment="1">
      <alignment vertical="center" wrapText="1"/>
    </xf>
    <xf numFmtId="0" fontId="32" fillId="0" borderId="23" xfId="5" applyFont="1" applyBorder="1" applyAlignment="1">
      <alignment vertical="center" wrapText="1"/>
    </xf>
    <xf numFmtId="0" fontId="56" fillId="10" borderId="28" xfId="0" applyFont="1" applyFill="1" applyBorder="1" applyAlignment="1">
      <alignment horizontal="center" vertical="center" wrapText="1"/>
    </xf>
    <xf numFmtId="0" fontId="56" fillId="10" borderId="29" xfId="0" applyFont="1" applyFill="1" applyBorder="1" applyAlignment="1">
      <alignment horizontal="center" vertical="center" wrapText="1"/>
    </xf>
    <xf numFmtId="0" fontId="56" fillId="10" borderId="30" xfId="0" applyFont="1" applyFill="1" applyBorder="1" applyAlignment="1">
      <alignment horizontal="center" vertical="center" wrapText="1"/>
    </xf>
    <xf numFmtId="0" fontId="13" fillId="9" borderId="5" xfId="5" applyFont="1" applyFill="1" applyBorder="1" applyAlignment="1">
      <alignment horizontal="left" vertical="center" wrapText="1"/>
    </xf>
    <xf numFmtId="0" fontId="13" fillId="8" borderId="20" xfId="5" applyFont="1" applyFill="1" applyBorder="1" applyAlignment="1">
      <alignment horizontal="left" vertical="center" wrapText="1"/>
    </xf>
    <xf numFmtId="0" fontId="13" fillId="8" borderId="21" xfId="5" applyFont="1" applyFill="1" applyBorder="1" applyAlignment="1">
      <alignment horizontal="left" vertical="center" wrapText="1"/>
    </xf>
    <xf numFmtId="0" fontId="13" fillId="8" borderId="24" xfId="5" applyFont="1" applyFill="1" applyBorder="1" applyAlignment="1">
      <alignment horizontal="left" vertical="center" wrapText="1"/>
    </xf>
    <xf numFmtId="0" fontId="32" fillId="0" borderId="60" xfId="5" applyFont="1" applyBorder="1" applyAlignment="1">
      <alignment vertical="center" wrapText="1"/>
    </xf>
    <xf numFmtId="0" fontId="32" fillId="0" borderId="57" xfId="5" applyFont="1" applyBorder="1" applyAlignment="1">
      <alignment vertical="center" wrapText="1"/>
    </xf>
    <xf numFmtId="0" fontId="32" fillId="0" borderId="61" xfId="5" applyFont="1" applyBorder="1" applyAlignment="1">
      <alignment vertical="center" wrapText="1"/>
    </xf>
    <xf numFmtId="0" fontId="13" fillId="0" borderId="31" xfId="5" applyFont="1" applyBorder="1" applyAlignment="1">
      <alignment vertical="center" wrapText="1"/>
    </xf>
    <xf numFmtId="0" fontId="13" fillId="0" borderId="32" xfId="5" applyFont="1" applyBorder="1" applyAlignment="1">
      <alignment vertical="center" wrapText="1"/>
    </xf>
    <xf numFmtId="0" fontId="13" fillId="0" borderId="33" xfId="5" applyFont="1" applyBorder="1" applyAlignment="1">
      <alignment vertical="center" wrapText="1"/>
    </xf>
    <xf numFmtId="0" fontId="14" fillId="0" borderId="28" xfId="5" applyFont="1" applyBorder="1" applyAlignment="1">
      <alignment vertical="center" wrapText="1"/>
    </xf>
    <xf numFmtId="0" fontId="14" fillId="0" borderId="29" xfId="5" applyFont="1" applyBorder="1" applyAlignment="1">
      <alignment vertical="center" wrapText="1"/>
    </xf>
    <xf numFmtId="0" fontId="14" fillId="0" borderId="30" xfId="5" applyFont="1" applyBorder="1" applyAlignment="1">
      <alignment vertical="center" wrapText="1"/>
    </xf>
    <xf numFmtId="0" fontId="13" fillId="0" borderId="22" xfId="5" applyFont="1" applyBorder="1" applyAlignment="1">
      <alignment vertical="center" wrapText="1"/>
    </xf>
    <xf numFmtId="0" fontId="13" fillId="0" borderId="0" xfId="5" applyFont="1" applyAlignment="1">
      <alignment vertical="center" wrapText="1"/>
    </xf>
    <xf numFmtId="0" fontId="13" fillId="0" borderId="23" xfId="5" applyFont="1" applyBorder="1" applyAlignment="1">
      <alignment vertical="center" wrapText="1"/>
    </xf>
    <xf numFmtId="0" fontId="13" fillId="17" borderId="20" xfId="5" applyFont="1" applyFill="1" applyBorder="1" applyAlignment="1">
      <alignment horizontal="left" vertical="center" wrapText="1"/>
    </xf>
    <xf numFmtId="0" fontId="13" fillId="17" borderId="24" xfId="5" applyFont="1" applyFill="1" applyBorder="1" applyAlignment="1">
      <alignment horizontal="left" vertical="center" wrapText="1"/>
    </xf>
    <xf numFmtId="0" fontId="13" fillId="17" borderId="21" xfId="5" applyFont="1" applyFill="1" applyBorder="1" applyAlignment="1">
      <alignment horizontal="left" vertical="center" wrapText="1"/>
    </xf>
    <xf numFmtId="0" fontId="13" fillId="7" borderId="20" xfId="5" applyFont="1" applyFill="1" applyBorder="1" applyAlignment="1">
      <alignment horizontal="left" vertical="center" wrapText="1"/>
    </xf>
    <xf numFmtId="0" fontId="13" fillId="7" borderId="24" xfId="5" applyFont="1" applyFill="1" applyBorder="1" applyAlignment="1">
      <alignment horizontal="left" vertical="center" wrapText="1"/>
    </xf>
    <xf numFmtId="0" fontId="13" fillId="7" borderId="21" xfId="5" applyFont="1" applyFill="1" applyBorder="1" applyAlignment="1">
      <alignment horizontal="left" vertical="center" wrapText="1"/>
    </xf>
    <xf numFmtId="0" fontId="14" fillId="6" borderId="18" xfId="0" applyFont="1" applyFill="1" applyBorder="1" applyAlignment="1">
      <alignment horizontal="left" vertical="center" wrapText="1"/>
    </xf>
    <xf numFmtId="0" fontId="14" fillId="6" borderId="19" xfId="0" applyFont="1" applyFill="1" applyBorder="1" applyAlignment="1">
      <alignment horizontal="left" vertical="center" wrapText="1"/>
    </xf>
    <xf numFmtId="0" fontId="13" fillId="6" borderId="20" xfId="0" applyFont="1" applyFill="1" applyBorder="1" applyAlignment="1">
      <alignment horizontal="left" vertical="center" wrapText="1"/>
    </xf>
    <xf numFmtId="0" fontId="13" fillId="6" borderId="21" xfId="0" applyFont="1" applyFill="1" applyBorder="1" applyAlignment="1">
      <alignment horizontal="left" vertical="center" wrapText="1"/>
    </xf>
    <xf numFmtId="0" fontId="14" fillId="6" borderId="18" xfId="0" applyFont="1" applyFill="1" applyBorder="1" applyAlignment="1">
      <alignment vertical="center" wrapText="1"/>
    </xf>
    <xf numFmtId="0" fontId="14" fillId="6" borderId="19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6" borderId="24" xfId="0" applyFont="1" applyFill="1" applyBorder="1" applyAlignment="1">
      <alignment horizontal="left" vertical="center" wrapText="1"/>
    </xf>
    <xf numFmtId="0" fontId="14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6" borderId="25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27" xfId="0" applyFont="1" applyFill="1" applyBorder="1" applyAlignment="1">
      <alignment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58" fillId="2" borderId="63" xfId="5" applyFont="1" applyFill="1" applyBorder="1" applyAlignment="1">
      <alignment horizontal="left" vertical="center"/>
    </xf>
    <xf numFmtId="0" fontId="58" fillId="2" borderId="64" xfId="5" applyFont="1" applyFill="1" applyBorder="1" applyAlignment="1">
      <alignment horizontal="left" vertical="center"/>
    </xf>
    <xf numFmtId="0" fontId="13" fillId="6" borderId="5" xfId="0" applyFont="1" applyFill="1" applyBorder="1" applyAlignment="1">
      <alignment vertical="center" wrapText="1"/>
    </xf>
    <xf numFmtId="0" fontId="54" fillId="4" borderId="63" xfId="0" applyFont="1" applyFill="1" applyBorder="1" applyAlignment="1">
      <alignment horizontal="left" vertical="center"/>
    </xf>
    <xf numFmtId="0" fontId="54" fillId="4" borderId="37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vertical="center" wrapText="1"/>
    </xf>
    <xf numFmtId="0" fontId="39" fillId="11" borderId="28" xfId="0" applyFont="1" applyFill="1" applyBorder="1" applyAlignment="1">
      <alignment horizontal="center" vertical="center"/>
    </xf>
    <xf numFmtId="0" fontId="39" fillId="11" borderId="29" xfId="0" applyFont="1" applyFill="1" applyBorder="1" applyAlignment="1">
      <alignment horizontal="center" vertical="center"/>
    </xf>
    <xf numFmtId="0" fontId="39" fillId="11" borderId="30" xfId="0" applyFont="1" applyFill="1" applyBorder="1" applyAlignment="1">
      <alignment horizontal="center" vertical="center"/>
    </xf>
    <xf numFmtId="0" fontId="39" fillId="11" borderId="0" xfId="0" applyFont="1" applyFill="1" applyAlignment="1">
      <alignment horizontal="center" vertical="center"/>
    </xf>
    <xf numFmtId="0" fontId="39" fillId="11" borderId="23" xfId="0" applyFont="1" applyFill="1" applyBorder="1" applyAlignment="1">
      <alignment horizontal="center" vertical="center"/>
    </xf>
    <xf numFmtId="0" fontId="58" fillId="2" borderId="37" xfId="5" applyFont="1" applyFill="1" applyBorder="1" applyAlignment="1">
      <alignment horizontal="left" vertical="center"/>
    </xf>
    <xf numFmtId="0" fontId="40" fillId="0" borderId="32" xfId="0" applyFont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49" fontId="30" fillId="6" borderId="0" xfId="0" applyNumberFormat="1" applyFont="1" applyFill="1" applyAlignment="1">
      <alignment horizontal="center" vertical="center"/>
    </xf>
    <xf numFmtId="49" fontId="30" fillId="9" borderId="73" xfId="0" applyNumberFormat="1" applyFont="1" applyFill="1" applyBorder="1" applyAlignment="1">
      <alignment horizontal="center" vertical="center"/>
    </xf>
    <xf numFmtId="49" fontId="30" fillId="9" borderId="0" xfId="0" applyNumberFormat="1" applyFont="1" applyFill="1" applyAlignment="1">
      <alignment horizontal="center" vertical="center"/>
    </xf>
    <xf numFmtId="49" fontId="30" fillId="8" borderId="0" xfId="0" applyNumberFormat="1" applyFont="1" applyFill="1" applyAlignment="1">
      <alignment horizontal="center" vertical="center"/>
    </xf>
    <xf numFmtId="49" fontId="30" fillId="17" borderId="0" xfId="0" applyNumberFormat="1" applyFont="1" applyFill="1" applyAlignment="1">
      <alignment horizontal="center" vertical="center"/>
    </xf>
    <xf numFmtId="49" fontId="30" fillId="7" borderId="0" xfId="0" applyNumberFormat="1" applyFont="1" applyFill="1" applyAlignment="1">
      <alignment horizontal="center" vertical="center"/>
    </xf>
    <xf numFmtId="0" fontId="13" fillId="9" borderId="5" xfId="0" applyFont="1" applyFill="1" applyBorder="1" applyAlignment="1">
      <alignment horizontal="left" vertical="center" wrapText="1"/>
    </xf>
    <xf numFmtId="0" fontId="13" fillId="8" borderId="5" xfId="0" applyFont="1" applyFill="1" applyBorder="1" applyAlignment="1">
      <alignment horizontal="left" vertical="center" wrapText="1"/>
    </xf>
    <xf numFmtId="0" fontId="13" fillId="17" borderId="5" xfId="0" applyFont="1" applyFill="1" applyBorder="1" applyAlignment="1">
      <alignment horizontal="left" vertical="center" wrapText="1"/>
    </xf>
    <xf numFmtId="0" fontId="13" fillId="7" borderId="5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horizontal="left" vertical="center" wrapText="1"/>
    </xf>
    <xf numFmtId="0" fontId="13" fillId="9" borderId="20" xfId="0" applyFont="1" applyFill="1" applyBorder="1" applyAlignment="1">
      <alignment horizontal="left" vertical="center" wrapText="1"/>
    </xf>
    <xf numFmtId="0" fontId="13" fillId="9" borderId="21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horizontal="left" vertical="center" wrapText="1"/>
    </xf>
    <xf numFmtId="0" fontId="13" fillId="8" borderId="21" xfId="0" applyFont="1" applyFill="1" applyBorder="1" applyAlignment="1">
      <alignment horizontal="left" vertical="center" wrapText="1"/>
    </xf>
    <xf numFmtId="0" fontId="13" fillId="8" borderId="17" xfId="0" applyFont="1" applyFill="1" applyBorder="1" applyAlignment="1">
      <alignment vertical="center" wrapText="1"/>
    </xf>
    <xf numFmtId="0" fontId="13" fillId="8" borderId="9" xfId="0" applyFont="1" applyFill="1" applyBorder="1" applyAlignment="1">
      <alignment vertical="center" wrapText="1"/>
    </xf>
    <xf numFmtId="0" fontId="13" fillId="17" borderId="20" xfId="0" applyFont="1" applyFill="1" applyBorder="1" applyAlignment="1">
      <alignment horizontal="left" vertical="center" wrapText="1"/>
    </xf>
    <xf numFmtId="0" fontId="13" fillId="17" borderId="21" xfId="0" applyFont="1" applyFill="1" applyBorder="1" applyAlignment="1">
      <alignment horizontal="left" vertical="center" wrapText="1"/>
    </xf>
    <xf numFmtId="0" fontId="13" fillId="7" borderId="20" xfId="0" applyFont="1" applyFill="1" applyBorder="1" applyAlignment="1">
      <alignment horizontal="left" vertical="center" wrapText="1"/>
    </xf>
    <xf numFmtId="0" fontId="13" fillId="7" borderId="24" xfId="0" applyFont="1" applyFill="1" applyBorder="1" applyAlignment="1">
      <alignment horizontal="left" vertical="center" wrapText="1"/>
    </xf>
    <xf numFmtId="0" fontId="13" fillId="7" borderId="25" xfId="0" applyFont="1" applyFill="1" applyBorder="1" applyAlignment="1">
      <alignment horizontal="left" vertical="center" wrapText="1"/>
    </xf>
    <xf numFmtId="0" fontId="13" fillId="7" borderId="20" xfId="0" applyFont="1" applyFill="1" applyBorder="1" applyAlignment="1">
      <alignment vertical="center" wrapText="1"/>
    </xf>
    <xf numFmtId="0" fontId="13" fillId="7" borderId="21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0" fontId="13" fillId="17" borderId="24" xfId="0" applyFont="1" applyFill="1" applyBorder="1" applyAlignment="1">
      <alignment horizontal="left" vertical="center" wrapText="1"/>
    </xf>
    <xf numFmtId="0" fontId="13" fillId="17" borderId="10" xfId="0" applyFont="1" applyFill="1" applyBorder="1" applyAlignment="1">
      <alignment vertical="center" wrapText="1"/>
    </xf>
    <xf numFmtId="0" fontId="13" fillId="9" borderId="20" xfId="0" applyFont="1" applyFill="1" applyBorder="1" applyAlignment="1">
      <alignment vertical="center" wrapText="1"/>
    </xf>
    <xf numFmtId="0" fontId="13" fillId="9" borderId="24" xfId="0" applyFont="1" applyFill="1" applyBorder="1" applyAlignment="1">
      <alignment vertical="center" wrapText="1"/>
    </xf>
    <xf numFmtId="0" fontId="13" fillId="9" borderId="21" xfId="0" applyFont="1" applyFill="1" applyBorder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0" fontId="13" fillId="17" borderId="12" xfId="0" applyFont="1" applyFill="1" applyBorder="1" applyAlignment="1">
      <alignment horizontal="left" vertical="center" wrapText="1"/>
    </xf>
    <xf numFmtId="0" fontId="13" fillId="7" borderId="24" xfId="0" applyFont="1" applyFill="1" applyBorder="1" applyAlignment="1">
      <alignment vertical="center" wrapText="1"/>
    </xf>
    <xf numFmtId="0" fontId="13" fillId="9" borderId="12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vertical="center" wrapText="1"/>
    </xf>
    <xf numFmtId="0" fontId="13" fillId="9" borderId="10" xfId="0" applyFont="1" applyFill="1" applyBorder="1" applyAlignment="1">
      <alignment vertical="center" wrapText="1"/>
    </xf>
    <xf numFmtId="0" fontId="13" fillId="17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13" fillId="17" borderId="25" xfId="0" applyFont="1" applyFill="1" applyBorder="1" applyAlignment="1">
      <alignment horizontal="left" vertical="center" wrapText="1"/>
    </xf>
    <xf numFmtId="0" fontId="13" fillId="6" borderId="20" xfId="0" applyFont="1" applyFill="1" applyBorder="1" applyAlignment="1">
      <alignment horizontal="left" vertical="center"/>
    </xf>
    <xf numFmtId="0" fontId="13" fillId="6" borderId="24" xfId="0" applyFont="1" applyFill="1" applyBorder="1" applyAlignment="1">
      <alignment horizontal="left" vertical="center"/>
    </xf>
    <xf numFmtId="0" fontId="13" fillId="6" borderId="25" xfId="0" applyFont="1" applyFill="1" applyBorder="1" applyAlignment="1">
      <alignment horizontal="left" vertical="center"/>
    </xf>
    <xf numFmtId="0" fontId="13" fillId="6" borderId="17" xfId="0" applyFont="1" applyFill="1" applyBorder="1">
      <alignment vertical="center"/>
    </xf>
    <xf numFmtId="0" fontId="13" fillId="6" borderId="9" xfId="0" applyFont="1" applyFill="1" applyBorder="1">
      <alignment vertical="center"/>
    </xf>
    <xf numFmtId="0" fontId="13" fillId="6" borderId="26" xfId="0" applyFont="1" applyFill="1" applyBorder="1">
      <alignment vertical="center"/>
    </xf>
    <xf numFmtId="0" fontId="13" fillId="6" borderId="20" xfId="0" applyFont="1" applyFill="1" applyBorder="1">
      <alignment vertical="center"/>
    </xf>
    <xf numFmtId="0" fontId="13" fillId="6" borderId="21" xfId="0" applyFont="1" applyFill="1" applyBorder="1">
      <alignment vertical="center"/>
    </xf>
    <xf numFmtId="0" fontId="13" fillId="6" borderId="24" xfId="0" applyFont="1" applyFill="1" applyBorder="1">
      <alignment vertical="center"/>
    </xf>
    <xf numFmtId="0" fontId="13" fillId="6" borderId="25" xfId="0" applyFont="1" applyFill="1" applyBorder="1">
      <alignment vertical="center"/>
    </xf>
    <xf numFmtId="0" fontId="13" fillId="6" borderId="5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13" fillId="6" borderId="5" xfId="0" applyFont="1" applyFill="1" applyBorder="1">
      <alignment vertical="center"/>
    </xf>
    <xf numFmtId="0" fontId="13" fillId="9" borderId="20" xfId="0" applyFont="1" applyFill="1" applyBorder="1" applyAlignment="1">
      <alignment horizontal="left" vertical="center"/>
    </xf>
    <xf numFmtId="0" fontId="13" fillId="9" borderId="24" xfId="0" applyFont="1" applyFill="1" applyBorder="1" applyAlignment="1">
      <alignment horizontal="left" vertical="center"/>
    </xf>
    <xf numFmtId="0" fontId="13" fillId="9" borderId="21" xfId="0" applyFont="1" applyFill="1" applyBorder="1" applyAlignment="1">
      <alignment horizontal="left" vertical="center"/>
    </xf>
    <xf numFmtId="0" fontId="13" fillId="8" borderId="20" xfId="0" applyFont="1" applyFill="1" applyBorder="1" applyAlignment="1">
      <alignment horizontal="left" vertical="center"/>
    </xf>
    <xf numFmtId="0" fontId="13" fillId="8" borderId="24" xfId="0" applyFont="1" applyFill="1" applyBorder="1" applyAlignment="1">
      <alignment horizontal="left" vertical="center"/>
    </xf>
    <xf numFmtId="0" fontId="13" fillId="8" borderId="21" xfId="0" applyFont="1" applyFill="1" applyBorder="1" applyAlignment="1">
      <alignment horizontal="left" vertical="center"/>
    </xf>
    <xf numFmtId="0" fontId="13" fillId="8" borderId="20" xfId="0" applyFont="1" applyFill="1" applyBorder="1">
      <alignment vertical="center"/>
    </xf>
    <xf numFmtId="0" fontId="13" fillId="8" borderId="24" xfId="0" applyFont="1" applyFill="1" applyBorder="1">
      <alignment vertical="center"/>
    </xf>
    <xf numFmtId="0" fontId="13" fillId="8" borderId="21" xfId="0" applyFont="1" applyFill="1" applyBorder="1">
      <alignment vertical="center"/>
    </xf>
    <xf numFmtId="0" fontId="13" fillId="8" borderId="17" xfId="0" applyFont="1" applyFill="1" applyBorder="1">
      <alignment vertical="center"/>
    </xf>
    <xf numFmtId="0" fontId="13" fillId="8" borderId="9" xfId="0" applyFont="1" applyFill="1" applyBorder="1">
      <alignment vertical="center"/>
    </xf>
    <xf numFmtId="0" fontId="13" fillId="9" borderId="21" xfId="0" applyFont="1" applyFill="1" applyBorder="1">
      <alignment vertical="center"/>
    </xf>
    <xf numFmtId="0" fontId="13" fillId="9" borderId="5" xfId="0" applyFont="1" applyFill="1" applyBorder="1">
      <alignment vertical="center"/>
    </xf>
    <xf numFmtId="0" fontId="13" fillId="8" borderId="5" xfId="0" applyFont="1" applyFill="1" applyBorder="1">
      <alignment vertical="center"/>
    </xf>
    <xf numFmtId="0" fontId="13" fillId="17" borderId="20" xfId="0" applyFont="1" applyFill="1" applyBorder="1" applyAlignment="1">
      <alignment horizontal="left" vertical="center"/>
    </xf>
    <xf numFmtId="0" fontId="13" fillId="17" borderId="24" xfId="0" applyFont="1" applyFill="1" applyBorder="1" applyAlignment="1">
      <alignment horizontal="left" vertical="center"/>
    </xf>
    <xf numFmtId="0" fontId="13" fillId="17" borderId="21" xfId="0" applyFont="1" applyFill="1" applyBorder="1" applyAlignment="1">
      <alignment horizontal="left" vertical="center"/>
    </xf>
    <xf numFmtId="0" fontId="13" fillId="17" borderId="17" xfId="0" applyFont="1" applyFill="1" applyBorder="1">
      <alignment vertical="center"/>
    </xf>
    <xf numFmtId="0" fontId="13" fillId="17" borderId="9" xfId="0" applyFont="1" applyFill="1" applyBorder="1">
      <alignment vertical="center"/>
    </xf>
    <xf numFmtId="0" fontId="13" fillId="7" borderId="20" xfId="0" applyFont="1" applyFill="1" applyBorder="1" applyAlignment="1">
      <alignment horizontal="left" vertical="center"/>
    </xf>
    <xf numFmtId="0" fontId="13" fillId="7" borderId="24" xfId="0" applyFont="1" applyFill="1" applyBorder="1" applyAlignment="1">
      <alignment horizontal="left" vertical="center"/>
    </xf>
    <xf numFmtId="0" fontId="13" fillId="7" borderId="21" xfId="0" applyFont="1" applyFill="1" applyBorder="1" applyAlignment="1">
      <alignment horizontal="left" vertical="center"/>
    </xf>
    <xf numFmtId="0" fontId="72" fillId="19" borderId="5" xfId="0" applyFont="1" applyFill="1" applyBorder="1" applyAlignment="1">
      <alignment horizontal="center" vertical="center"/>
    </xf>
    <xf numFmtId="0" fontId="73" fillId="19" borderId="5" xfId="0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69" fillId="19" borderId="5" xfId="0" applyFont="1" applyFill="1" applyBorder="1" applyAlignment="1">
      <alignment horizontal="center" vertical="center"/>
    </xf>
    <xf numFmtId="0" fontId="77" fillId="19" borderId="5" xfId="0" applyFont="1" applyFill="1" applyBorder="1" applyAlignment="1">
      <alignment horizontal="center" vertical="center"/>
    </xf>
    <xf numFmtId="0" fontId="75" fillId="9" borderId="28" xfId="0" applyFont="1" applyFill="1" applyBorder="1" applyAlignment="1">
      <alignment horizontal="center" vertical="center"/>
    </xf>
    <xf numFmtId="0" fontId="75" fillId="9" borderId="29" xfId="0" applyFont="1" applyFill="1" applyBorder="1" applyAlignment="1">
      <alignment horizontal="center" vertical="center"/>
    </xf>
    <xf numFmtId="0" fontId="75" fillId="9" borderId="30" xfId="0" applyFont="1" applyFill="1" applyBorder="1" applyAlignment="1">
      <alignment horizontal="center" vertical="center"/>
    </xf>
    <xf numFmtId="0" fontId="71" fillId="19" borderId="5" xfId="0" applyFont="1" applyFill="1" applyBorder="1" applyAlignment="1">
      <alignment horizontal="center" vertical="center"/>
    </xf>
    <xf numFmtId="0" fontId="69" fillId="19" borderId="59" xfId="0" applyFont="1" applyFill="1" applyBorder="1" applyAlignment="1">
      <alignment horizontal="center" vertical="center"/>
    </xf>
    <xf numFmtId="0" fontId="69" fillId="19" borderId="73" xfId="0" applyFont="1" applyFill="1" applyBorder="1" applyAlignment="1">
      <alignment horizontal="center" vertical="center"/>
    </xf>
    <xf numFmtId="0" fontId="69" fillId="19" borderId="56" xfId="0" applyFont="1" applyFill="1" applyBorder="1" applyAlignment="1">
      <alignment horizontal="center" vertical="center"/>
    </xf>
    <xf numFmtId="0" fontId="74" fillId="19" borderId="5" xfId="0" applyFont="1" applyFill="1" applyBorder="1" applyAlignment="1">
      <alignment horizontal="center" vertical="center"/>
    </xf>
    <xf numFmtId="0" fontId="69" fillId="19" borderId="75" xfId="0" applyFont="1" applyFill="1" applyBorder="1" applyAlignment="1">
      <alignment horizontal="center" vertical="center"/>
    </xf>
    <xf numFmtId="0" fontId="69" fillId="19" borderId="0" xfId="0" applyFont="1" applyFill="1" applyAlignment="1">
      <alignment horizontal="center" vertical="center"/>
    </xf>
    <xf numFmtId="0" fontId="69" fillId="19" borderId="48" xfId="0" applyFont="1" applyFill="1" applyBorder="1" applyAlignment="1">
      <alignment horizontal="center" vertical="center"/>
    </xf>
    <xf numFmtId="0" fontId="77" fillId="19" borderId="75" xfId="0" applyFont="1" applyFill="1" applyBorder="1" applyAlignment="1">
      <alignment horizontal="center" vertical="center"/>
    </xf>
    <xf numFmtId="0" fontId="77" fillId="19" borderId="0" xfId="0" applyFont="1" applyFill="1" applyAlignment="1">
      <alignment horizontal="center" vertical="center"/>
    </xf>
    <xf numFmtId="0" fontId="77" fillId="19" borderId="48" xfId="0" applyFont="1" applyFill="1" applyBorder="1" applyAlignment="1">
      <alignment horizontal="center" vertical="center"/>
    </xf>
    <xf numFmtId="0" fontId="72" fillId="19" borderId="46" xfId="0" applyFont="1" applyFill="1" applyBorder="1" applyAlignment="1">
      <alignment horizontal="center" vertical="center"/>
    </xf>
    <xf numFmtId="0" fontId="72" fillId="19" borderId="81" xfId="0" applyFont="1" applyFill="1" applyBorder="1" applyAlignment="1">
      <alignment horizontal="center" vertical="center"/>
    </xf>
    <xf numFmtId="0" fontId="72" fillId="19" borderId="40" xfId="0" applyFont="1" applyFill="1" applyBorder="1" applyAlignment="1">
      <alignment horizontal="center" vertical="center"/>
    </xf>
    <xf numFmtId="0" fontId="78" fillId="19" borderId="46" xfId="0" applyFont="1" applyFill="1" applyBorder="1" applyAlignment="1">
      <alignment horizontal="center" vertical="center"/>
    </xf>
    <xf numFmtId="0" fontId="78" fillId="19" borderId="81" xfId="0" applyFont="1" applyFill="1" applyBorder="1" applyAlignment="1">
      <alignment horizontal="center" vertical="center"/>
    </xf>
    <xf numFmtId="0" fontId="78" fillId="19" borderId="40" xfId="0" applyFont="1" applyFill="1" applyBorder="1" applyAlignment="1">
      <alignment horizontal="center" vertical="center"/>
    </xf>
    <xf numFmtId="0" fontId="71" fillId="19" borderId="46" xfId="0" applyFont="1" applyFill="1" applyBorder="1" applyAlignment="1">
      <alignment horizontal="center" vertical="center"/>
    </xf>
    <xf numFmtId="0" fontId="71" fillId="19" borderId="81" xfId="0" applyFont="1" applyFill="1" applyBorder="1" applyAlignment="1">
      <alignment horizontal="center" vertical="center"/>
    </xf>
    <xf numFmtId="0" fontId="71" fillId="19" borderId="40" xfId="0" applyFont="1" applyFill="1" applyBorder="1" applyAlignment="1">
      <alignment horizontal="center" vertical="center"/>
    </xf>
    <xf numFmtId="0" fontId="73" fillId="19" borderId="46" xfId="0" applyFont="1" applyFill="1" applyBorder="1" applyAlignment="1">
      <alignment horizontal="center" vertical="center"/>
    </xf>
    <xf numFmtId="0" fontId="73" fillId="19" borderId="81" xfId="0" applyFont="1" applyFill="1" applyBorder="1" applyAlignment="1">
      <alignment horizontal="center" vertical="center"/>
    </xf>
    <xf numFmtId="0" fontId="73" fillId="19" borderId="40" xfId="0" applyFont="1" applyFill="1" applyBorder="1" applyAlignment="1">
      <alignment horizontal="center" vertical="center"/>
    </xf>
    <xf numFmtId="0" fontId="77" fillId="19" borderId="46" xfId="0" applyFont="1" applyFill="1" applyBorder="1" applyAlignment="1">
      <alignment horizontal="center" vertical="center"/>
    </xf>
    <xf numFmtId="0" fontId="77" fillId="19" borderId="81" xfId="0" applyFont="1" applyFill="1" applyBorder="1" applyAlignment="1">
      <alignment horizontal="center" vertical="center"/>
    </xf>
    <xf numFmtId="0" fontId="77" fillId="19" borderId="40" xfId="0" applyFont="1" applyFill="1" applyBorder="1" applyAlignment="1">
      <alignment horizontal="center" vertical="center"/>
    </xf>
    <xf numFmtId="0" fontId="74" fillId="19" borderId="46" xfId="0" applyFont="1" applyFill="1" applyBorder="1" applyAlignment="1">
      <alignment horizontal="center" vertical="center"/>
    </xf>
    <xf numFmtId="0" fontId="74" fillId="19" borderId="81" xfId="0" applyFont="1" applyFill="1" applyBorder="1" applyAlignment="1">
      <alignment horizontal="center" vertical="center"/>
    </xf>
    <xf numFmtId="0" fontId="74" fillId="19" borderId="40" xfId="0" applyFont="1" applyFill="1" applyBorder="1" applyAlignment="1">
      <alignment horizontal="center" vertical="center"/>
    </xf>
    <xf numFmtId="0" fontId="75" fillId="8" borderId="28" xfId="0" applyFont="1" applyFill="1" applyBorder="1" applyAlignment="1">
      <alignment horizontal="center" vertical="center"/>
    </xf>
    <xf numFmtId="0" fontId="75" fillId="8" borderId="29" xfId="0" applyFont="1" applyFill="1" applyBorder="1" applyAlignment="1">
      <alignment horizontal="center" vertical="center"/>
    </xf>
    <xf numFmtId="0" fontId="75" fillId="8" borderId="30" xfId="0" applyFont="1" applyFill="1" applyBorder="1" applyAlignment="1">
      <alignment horizontal="center" vertical="center"/>
    </xf>
    <xf numFmtId="0" fontId="76" fillId="19" borderId="46" xfId="0" applyFont="1" applyFill="1" applyBorder="1" applyAlignment="1">
      <alignment horizontal="center" vertical="center"/>
    </xf>
    <xf numFmtId="0" fontId="76" fillId="19" borderId="81" xfId="0" applyFont="1" applyFill="1" applyBorder="1" applyAlignment="1">
      <alignment horizontal="center" vertical="center"/>
    </xf>
    <xf numFmtId="0" fontId="76" fillId="19" borderId="40" xfId="0" applyFont="1" applyFill="1" applyBorder="1" applyAlignment="1">
      <alignment horizontal="center" vertical="center"/>
    </xf>
    <xf numFmtId="0" fontId="69" fillId="19" borderId="46" xfId="0" applyFont="1" applyFill="1" applyBorder="1" applyAlignment="1">
      <alignment horizontal="center" vertical="center"/>
    </xf>
    <xf numFmtId="0" fontId="69" fillId="19" borderId="81" xfId="0" applyFont="1" applyFill="1" applyBorder="1" applyAlignment="1">
      <alignment horizontal="center" vertical="center"/>
    </xf>
    <xf numFmtId="0" fontId="69" fillId="19" borderId="40" xfId="0" applyFont="1" applyFill="1" applyBorder="1" applyAlignment="1">
      <alignment horizontal="center" vertical="center"/>
    </xf>
    <xf numFmtId="0" fontId="75" fillId="17" borderId="28" xfId="0" applyFont="1" applyFill="1" applyBorder="1" applyAlignment="1">
      <alignment horizontal="center" vertical="center"/>
    </xf>
    <xf numFmtId="0" fontId="75" fillId="17" borderId="29" xfId="0" applyFont="1" applyFill="1" applyBorder="1" applyAlignment="1">
      <alignment horizontal="center" vertical="center"/>
    </xf>
    <xf numFmtId="0" fontId="75" fillId="17" borderId="30" xfId="0" applyFont="1" applyFill="1" applyBorder="1" applyAlignment="1">
      <alignment horizontal="center" vertical="center"/>
    </xf>
    <xf numFmtId="0" fontId="98" fillId="11" borderId="83" xfId="0" applyFont="1" applyFill="1" applyBorder="1" applyAlignment="1">
      <alignment horizontal="center" vertical="center"/>
    </xf>
    <xf numFmtId="0" fontId="98" fillId="11" borderId="64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0" fillId="0" borderId="0" xfId="1" applyFont="1" applyAlignment="1">
      <alignment horizontal="left" vertical="center"/>
    </xf>
  </cellXfs>
  <cellStyles count="24">
    <cellStyle name="常规" xfId="0" builtinId="0"/>
    <cellStyle name="常规 2" xfId="1" xr:uid="{00000000-0005-0000-0000-000001000000}"/>
    <cellStyle name="常规 3" xfId="2" xr:uid="{00000000-0005-0000-0000-000002000000}"/>
    <cellStyle name="常规 3 2" xfId="3" xr:uid="{00000000-0005-0000-0000-000003000000}"/>
    <cellStyle name="常规 4" xfId="4" xr:uid="{00000000-0005-0000-0000-000004000000}"/>
    <cellStyle name="常规 5" xfId="5" xr:uid="{00000000-0005-0000-0000-000005000000}"/>
    <cellStyle name="常规 5 2" xfId="11" xr:uid="{00000000-0005-0000-0000-000006000000}"/>
    <cellStyle name="常规 6" xfId="10" xr:uid="{00000000-0005-0000-0000-000007000000}"/>
    <cellStyle name="常规 7" xfId="9" xr:uid="{00000000-0005-0000-0000-000008000000}"/>
    <cellStyle name="常规 7 2" xfId="14" xr:uid="{00000000-0005-0000-0000-000009000000}"/>
    <cellStyle name="常规 7 2 2" xfId="21" xr:uid="{00000000-0005-0000-0000-00000A000000}"/>
    <cellStyle name="常规 7 2 3" xfId="17" xr:uid="{00000000-0005-0000-0000-00000B000000}"/>
    <cellStyle name="常规 7 2 4" xfId="23" xr:uid="{00000000-0005-0000-0000-00000C000000}"/>
    <cellStyle name="常规 7 3" xfId="19" xr:uid="{00000000-0005-0000-0000-00000D000000}"/>
    <cellStyle name="常规 7 4" xfId="16" xr:uid="{00000000-0005-0000-0000-00000E000000}"/>
    <cellStyle name="常规 7 5" xfId="22" xr:uid="{00000000-0005-0000-0000-00000F000000}"/>
    <cellStyle name="常规 8" xfId="13" xr:uid="{00000000-0005-0000-0000-000010000000}"/>
    <cellStyle name="常规 8 2" xfId="20" xr:uid="{00000000-0005-0000-0000-000011000000}"/>
    <cellStyle name="常规 8 3" xfId="18" xr:uid="{00000000-0005-0000-0000-000012000000}"/>
    <cellStyle name="常规 9" xfId="15" xr:uid="{00000000-0005-0000-0000-000013000000}"/>
    <cellStyle name="超链接" xfId="8" builtinId="8"/>
    <cellStyle name="超链接 2" xfId="6" xr:uid="{00000000-0005-0000-0000-000015000000}"/>
    <cellStyle name="超链接 3" xfId="7" xr:uid="{00000000-0005-0000-0000-000016000000}"/>
    <cellStyle name="超链接 3 2" xfId="12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64A2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13" Type="http://schemas.openxmlformats.org/officeDocument/2006/relationships/image" Target="../media/image14.jp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12" Type="http://schemas.openxmlformats.org/officeDocument/2006/relationships/image" Target="../media/image13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5" Type="http://schemas.openxmlformats.org/officeDocument/2006/relationships/image" Target="../media/image6.jpg"/><Relationship Id="rId10" Type="http://schemas.openxmlformats.org/officeDocument/2006/relationships/image" Target="../media/image11.jpg"/><Relationship Id="rId4" Type="http://schemas.openxmlformats.org/officeDocument/2006/relationships/image" Target="../media/image5.jpg"/><Relationship Id="rId9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0</xdr:rowOff>
    </xdr:from>
    <xdr:to>
      <xdr:col>9</xdr:col>
      <xdr:colOff>466725</xdr:colOff>
      <xdr:row>3</xdr:row>
      <xdr:rowOff>123825</xdr:rowOff>
    </xdr:to>
    <xdr:pic>
      <xdr:nvPicPr>
        <xdr:cNvPr id="1317" name="图片 1">
          <a:extLs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38125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171450</xdr:colOff>
      <xdr:row>44</xdr:row>
      <xdr:rowOff>0</xdr:rowOff>
    </xdr:from>
    <xdr:to>
      <xdr:col>9</xdr:col>
      <xdr:colOff>495300</xdr:colOff>
      <xdr:row>46</xdr:row>
      <xdr:rowOff>114300</xdr:rowOff>
    </xdr:to>
    <xdr:pic>
      <xdr:nvPicPr>
        <xdr:cNvPr id="1318" name="图片 2">
          <a:extLs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2745700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9525</xdr:rowOff>
    </xdr:from>
    <xdr:to>
      <xdr:col>9</xdr:col>
      <xdr:colOff>466725</xdr:colOff>
      <xdr:row>3</xdr:row>
      <xdr:rowOff>133350</xdr:rowOff>
    </xdr:to>
    <xdr:pic>
      <xdr:nvPicPr>
        <xdr:cNvPr id="2341" name="图片 5">
          <a:extLst>
            <a:ext uri="{FF2B5EF4-FFF2-40B4-BE49-F238E27FC236}">
              <a16:creationId xmlns:a16="http://schemas.microsoft.com/office/drawing/2014/main" id="{00000000-0008-0000-0500-000025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025" y="247650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161925</xdr:colOff>
      <xdr:row>43</xdr:row>
      <xdr:rowOff>0</xdr:rowOff>
    </xdr:from>
    <xdr:to>
      <xdr:col>9</xdr:col>
      <xdr:colOff>485775</xdr:colOff>
      <xdr:row>45</xdr:row>
      <xdr:rowOff>180975</xdr:rowOff>
    </xdr:to>
    <xdr:pic>
      <xdr:nvPicPr>
        <xdr:cNvPr id="2342" name="图片 6">
          <a:extLst>
            <a:ext uri="{FF2B5EF4-FFF2-40B4-BE49-F238E27FC236}">
              <a16:creationId xmlns:a16="http://schemas.microsoft.com/office/drawing/2014/main" id="{00000000-0008-0000-0500-000026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1917025"/>
          <a:ext cx="323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4</xdr:col>
      <xdr:colOff>571500</xdr:colOff>
      <xdr:row>41</xdr:row>
      <xdr:rowOff>72971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2475"/>
          <a:ext cx="7772400" cy="80358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3</xdr:col>
      <xdr:colOff>3514725</xdr:colOff>
      <xdr:row>109</xdr:row>
      <xdr:rowOff>104775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85800"/>
          <a:ext cx="6848475" cy="710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3</xdr:col>
      <xdr:colOff>581025</xdr:colOff>
      <xdr:row>143</xdr:row>
      <xdr:rowOff>47625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165175"/>
          <a:ext cx="3924300" cy="4238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4</xdr:col>
      <xdr:colOff>571500</xdr:colOff>
      <xdr:row>206</xdr:row>
      <xdr:rowOff>79709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42325"/>
          <a:ext cx="7772400" cy="99285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3</xdr:col>
      <xdr:colOff>3524250</xdr:colOff>
      <xdr:row>264</xdr:row>
      <xdr:rowOff>161925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72825"/>
          <a:ext cx="6867525" cy="6867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4</xdr:col>
      <xdr:colOff>571500</xdr:colOff>
      <xdr:row>327</xdr:row>
      <xdr:rowOff>84107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01850"/>
          <a:ext cx="7759700" cy="8370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4</xdr:col>
      <xdr:colOff>571500</xdr:colOff>
      <xdr:row>397</xdr:row>
      <xdr:rowOff>130261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14175"/>
          <a:ext cx="7772400" cy="89313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4</xdr:col>
      <xdr:colOff>571500</xdr:colOff>
      <xdr:row>456</xdr:row>
      <xdr:rowOff>2023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63275"/>
          <a:ext cx="7772400" cy="94317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6</xdr:col>
      <xdr:colOff>523875</xdr:colOff>
      <xdr:row>519</xdr:row>
      <xdr:rowOff>85725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803325"/>
          <a:ext cx="9096375" cy="7210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3</xdr:col>
      <xdr:colOff>3600450</xdr:colOff>
      <xdr:row>571</xdr:row>
      <xdr:rowOff>142875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509675"/>
          <a:ext cx="6943725" cy="5591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4</xdr:col>
      <xdr:colOff>571500</xdr:colOff>
      <xdr:row>631</xdr:row>
      <xdr:rowOff>3803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491875"/>
          <a:ext cx="7772400" cy="81762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667</xdr:row>
      <xdr:rowOff>0</xdr:rowOff>
    </xdr:from>
    <xdr:to>
      <xdr:col>4</xdr:col>
      <xdr:colOff>498634</xdr:colOff>
      <xdr:row>715</xdr:row>
      <xdr:rowOff>0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4948950"/>
          <a:ext cx="7686834" cy="883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741</xdr:row>
      <xdr:rowOff>0</xdr:rowOff>
    </xdr:from>
    <xdr:to>
      <xdr:col>7</xdr:col>
      <xdr:colOff>676275</xdr:colOff>
      <xdr:row>777</xdr:row>
      <xdr:rowOff>121418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981525"/>
          <a:ext cx="10058400" cy="7665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workbookViewId="0">
      <selection sqref="A1:C1"/>
    </sheetView>
  </sheetViews>
  <sheetFormatPr defaultColWidth="8.9140625" defaultRowHeight="15"/>
  <cols>
    <col min="2" max="2" width="20.33203125" customWidth="1"/>
    <col min="3" max="3" width="54.9140625" customWidth="1"/>
  </cols>
  <sheetData>
    <row r="1" spans="1:10" ht="21.5" thickBot="1">
      <c r="A1" s="687" t="s">
        <v>6710</v>
      </c>
      <c r="B1" s="688"/>
      <c r="C1" s="689"/>
      <c r="D1" s="198"/>
      <c r="E1" s="23"/>
    </row>
    <row r="2" spans="1:10">
      <c r="A2" s="208" t="s">
        <v>6905</v>
      </c>
      <c r="D2" s="208"/>
      <c r="G2" s="26"/>
    </row>
    <row r="3" spans="1:10">
      <c r="A3" t="s">
        <v>2777</v>
      </c>
      <c r="D3" s="65"/>
      <c r="G3" s="26"/>
    </row>
    <row r="4" spans="1:10">
      <c r="A4" t="s">
        <v>2778</v>
      </c>
      <c r="D4" s="65"/>
      <c r="G4" s="26"/>
    </row>
    <row r="5" spans="1:10">
      <c r="D5" s="65"/>
      <c r="G5" s="26"/>
    </row>
    <row r="6" spans="1:10">
      <c r="A6" t="s">
        <v>3471</v>
      </c>
      <c r="D6" s="65"/>
      <c r="G6" s="26"/>
    </row>
    <row r="7" spans="1:10">
      <c r="A7" s="691"/>
      <c r="B7" s="691"/>
      <c r="C7" s="691"/>
      <c r="J7" s="26"/>
    </row>
    <row r="8" spans="1:10">
      <c r="A8" s="686" t="s">
        <v>613</v>
      </c>
      <c r="B8" s="686"/>
      <c r="C8" s="686"/>
      <c r="J8" s="26"/>
    </row>
    <row r="9" spans="1:10">
      <c r="B9" s="690" t="s">
        <v>92</v>
      </c>
      <c r="C9" s="690"/>
    </row>
    <row r="10" spans="1:10">
      <c r="B10" s="690" t="s">
        <v>93</v>
      </c>
      <c r="C10" s="690"/>
    </row>
    <row r="11" spans="1:10">
      <c r="B11" s="690" t="s">
        <v>3470</v>
      </c>
      <c r="C11" s="690"/>
    </row>
    <row r="12" spans="1:10">
      <c r="B12" s="690" t="s">
        <v>94</v>
      </c>
      <c r="C12" s="690"/>
    </row>
    <row r="13" spans="1:10">
      <c r="B13" s="693" t="s">
        <v>717</v>
      </c>
      <c r="C13" s="693"/>
    </row>
    <row r="14" spans="1:10">
      <c r="B14" s="690" t="s">
        <v>2776</v>
      </c>
      <c r="C14" s="693"/>
    </row>
    <row r="15" spans="1:10">
      <c r="A15" s="692"/>
      <c r="B15" s="692"/>
      <c r="C15" s="692"/>
    </row>
    <row r="16" spans="1:10">
      <c r="A16" s="686" t="s">
        <v>615</v>
      </c>
      <c r="B16" s="686"/>
      <c r="C16" s="686"/>
    </row>
    <row r="17" spans="1:3">
      <c r="B17" s="690" t="s">
        <v>614</v>
      </c>
      <c r="C17" s="690"/>
    </row>
    <row r="18" spans="1:3">
      <c r="A18" s="692"/>
      <c r="B18" s="692"/>
      <c r="C18" s="692"/>
    </row>
    <row r="19" spans="1:3">
      <c r="A19" s="686" t="s">
        <v>612</v>
      </c>
      <c r="B19" s="686"/>
      <c r="C19" s="686"/>
    </row>
    <row r="20" spans="1:3">
      <c r="B20" s="1" t="s">
        <v>604</v>
      </c>
      <c r="C20" s="1" t="s">
        <v>605</v>
      </c>
    </row>
    <row r="21" spans="1:3">
      <c r="B21" t="s">
        <v>643</v>
      </c>
      <c r="C21" t="s">
        <v>606</v>
      </c>
    </row>
    <row r="22" spans="1:3">
      <c r="B22" t="s">
        <v>644</v>
      </c>
      <c r="C22" t="s">
        <v>606</v>
      </c>
    </row>
    <row r="23" spans="1:3">
      <c r="B23" t="s">
        <v>607</v>
      </c>
      <c r="C23" t="s">
        <v>606</v>
      </c>
    </row>
    <row r="24" spans="1:3">
      <c r="B24" t="s">
        <v>608</v>
      </c>
      <c r="C24" t="s">
        <v>609</v>
      </c>
    </row>
    <row r="25" spans="1:3">
      <c r="B25" t="s">
        <v>610</v>
      </c>
      <c r="C25" t="s">
        <v>606</v>
      </c>
    </row>
    <row r="26" spans="1:3">
      <c r="B26" t="s">
        <v>611</v>
      </c>
      <c r="C26" t="s">
        <v>606</v>
      </c>
    </row>
    <row r="27" spans="1:3">
      <c r="B27" t="s">
        <v>716</v>
      </c>
      <c r="C27" t="s">
        <v>606</v>
      </c>
    </row>
    <row r="28" spans="1:3">
      <c r="B28" s="208" t="s">
        <v>2805</v>
      </c>
      <c r="C28" s="208" t="s">
        <v>2806</v>
      </c>
    </row>
    <row r="29" spans="1:3">
      <c r="B29" s="208" t="s">
        <v>3302</v>
      </c>
      <c r="C29" t="s">
        <v>606</v>
      </c>
    </row>
    <row r="30" spans="1:3">
      <c r="B30" t="s">
        <v>6907</v>
      </c>
      <c r="C30" s="208" t="s">
        <v>6906</v>
      </c>
    </row>
    <row r="31" spans="1:3">
      <c r="B31" t="s">
        <v>645</v>
      </c>
    </row>
  </sheetData>
  <mergeCells count="14">
    <mergeCell ref="A19:C19"/>
    <mergeCell ref="A1:C1"/>
    <mergeCell ref="A8:C8"/>
    <mergeCell ref="B9:C9"/>
    <mergeCell ref="B10:C10"/>
    <mergeCell ref="B11:C11"/>
    <mergeCell ref="A7:C7"/>
    <mergeCell ref="B12:C12"/>
    <mergeCell ref="A16:C16"/>
    <mergeCell ref="B17:C17"/>
    <mergeCell ref="A15:C15"/>
    <mergeCell ref="A18:C18"/>
    <mergeCell ref="B13:C13"/>
    <mergeCell ref="B14:C14"/>
  </mergeCells>
  <phoneticPr fontId="1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1"/>
  <sheetViews>
    <sheetView workbookViewId="0">
      <pane ySplit="1" topLeftCell="A2" activePane="bottomLeft" state="frozen"/>
      <selection pane="bottomLeft"/>
    </sheetView>
  </sheetViews>
  <sheetFormatPr defaultColWidth="9" defaultRowHeight="16.5"/>
  <cols>
    <col min="1" max="1" width="25.58203125" style="73" customWidth="1"/>
    <col min="2" max="2" width="25.58203125" style="417" customWidth="1"/>
    <col min="3" max="3" width="15.58203125" style="75" customWidth="1"/>
    <col min="4" max="4" width="75.58203125" style="75" customWidth="1"/>
    <col min="5" max="16384" width="9" style="75"/>
  </cols>
  <sheetData>
    <row r="1" spans="1:6" ht="17" thickBot="1">
      <c r="A1" s="73" t="s">
        <v>2023</v>
      </c>
      <c r="B1" s="168" t="s">
        <v>2208</v>
      </c>
      <c r="D1" s="76" t="s">
        <v>2021</v>
      </c>
      <c r="E1" s="573" t="s">
        <v>3676</v>
      </c>
      <c r="F1" s="319">
        <f>VLOOKUP(E1,Data!$A:$B,2, FALSE)</f>
        <v>2</v>
      </c>
    </row>
    <row r="2" spans="1:6" ht="23" thickBot="1">
      <c r="A2" s="749" t="str">
        <f>VLOOKUP("第一手消息", Data!$B:$D,F1, FALSE)</f>
        <v>传说源启</v>
      </c>
      <c r="B2" s="750"/>
      <c r="C2" s="750"/>
      <c r="D2" s="751"/>
    </row>
    <row r="3" spans="1:6" s="73" customFormat="1">
      <c r="A3" s="490" t="s">
        <v>2289</v>
      </c>
      <c r="B3" s="491" t="s">
        <v>2290</v>
      </c>
      <c r="C3" s="492" t="s">
        <v>2291</v>
      </c>
      <c r="D3" s="493" t="s">
        <v>2292</v>
      </c>
    </row>
    <row r="4" spans="1:6" ht="29">
      <c r="A4" s="529" t="str">
        <f>VLOOKUP("沾滿血漬的信", Data!$B:$D,F1, FALSE)</f>
        <v>染血的信笺</v>
      </c>
      <c r="B4" s="337" t="str">
        <f>VLOOKUP("要塞下層第一層", Data!$B:$D,F1, FALSE)</f>
        <v>要塞深渊一层</v>
      </c>
      <c r="C4" s="337" t="str">
        <f>VLOOKUP("死亡的士兵", Data!$B:$D,F1, FALSE)</f>
        <v>死亡的士兵</v>
      </c>
      <c r="D4" s="338" t="s">
        <v>2168</v>
      </c>
    </row>
    <row r="5" spans="1:6">
      <c r="A5" s="529" t="str">
        <f>VLOOKUP("岡姆的日誌", Data!$B:$D,F1, FALSE)</f>
        <v>贡姆的日志</v>
      </c>
      <c r="B5" s="337" t="str">
        <f>VLOOKUP("要塞下層第三層-食物貯藏室", Data!$B:$D,F1, FALSE)</f>
        <v>要塞深渊三层-储藏室</v>
      </c>
      <c r="C5" s="337" t="str">
        <f>VLOOKUP("被吃掉一半的守衛", Data!$B:$D,F1, FALSE)</f>
        <v>未被吃尽的守卫尸体</v>
      </c>
      <c r="D5" s="338" t="s">
        <v>2170</v>
      </c>
    </row>
    <row r="6" spans="1:6">
      <c r="A6" s="529" t="str">
        <f>VLOOKUP("漢桑·海利隊長的日誌", Data!$B:$D,F1, FALSE)</f>
        <v>汉森·海耶队长的日志</v>
      </c>
      <c r="B6" s="337" t="str">
        <f>VLOOKUP("戍衛要塞堡壘", Data!$B:$D,F1, FALSE)</f>
        <v>巴斯廷要塞据点</v>
      </c>
      <c r="C6" s="337" t="str">
        <f>VLOOKUP("海利隊長的補給箱", Data!$B:$D,F1, FALSE)</f>
        <v>海勒队长的补给箱</v>
      </c>
      <c r="D6" s="338" t="s">
        <v>2172</v>
      </c>
    </row>
    <row r="7" spans="1:6">
      <c r="A7" s="529" t="str">
        <f>VLOOKUP("莉亞的要塞日誌：第一篇", Data!$B:$D,F1, FALSE)</f>
        <v>莉娅的要塞日志一</v>
      </c>
      <c r="B7" s="768" t="str">
        <f>VLOOKUP("戍衛要塞堡壘-军械库", Data!$B:$D,F1, FALSE)</f>
        <v>巴斯廷要塞据点-要塞军械库</v>
      </c>
      <c r="C7" s="768" t="str">
        <f>VLOOKUP("莉亞的日誌", Data!$B:$D,F1, FALSE)</f>
        <v>莉娅的书</v>
      </c>
      <c r="D7" s="338" t="s">
        <v>2173</v>
      </c>
    </row>
    <row r="8" spans="1:6">
      <c r="A8" s="530" t="str">
        <f>VLOOKUP("莉亞的要塞日誌：第二篇", Data!$B:$D,F1, FALSE)</f>
        <v>莉娅的要塞日志二</v>
      </c>
      <c r="B8" s="769"/>
      <c r="C8" s="769"/>
      <c r="D8" s="338" t="s">
        <v>2174</v>
      </c>
    </row>
    <row r="9" spans="1:6">
      <c r="A9" s="529" t="str">
        <f>VLOOKUP("莉亞的要塞日誌：第三篇", Data!$B:$D,F1, FALSE)</f>
        <v>莉娅的要塞日志三</v>
      </c>
      <c r="B9" s="769"/>
      <c r="C9" s="769"/>
      <c r="D9" s="338" t="s">
        <v>2175</v>
      </c>
    </row>
    <row r="10" spans="1:6">
      <c r="A10" s="529" t="str">
        <f>VLOOKUP("莉亞的要塞日誌：第四篇", Data!$B:$D,F1, FALSE)</f>
        <v>莉娅的要塞日志四</v>
      </c>
      <c r="B10" s="770"/>
      <c r="C10" s="770"/>
      <c r="D10" s="338" t="s">
        <v>2176</v>
      </c>
    </row>
    <row r="11" spans="1:6">
      <c r="A11" s="529" t="str">
        <f>VLOOKUP("摩根的日誌：第一篇", Data!$B:$D,F1, FALSE)</f>
        <v>摩根的日志一</v>
      </c>
      <c r="B11" s="768" t="str">
        <f>VLOOKUP("天冠城垛", Data!$B:$D,F1, FALSE)
&amp;CHAR(10)&amp;VLOOKUP("石壘", Data!$B:$D,F1, FALSE)</f>
        <v>天冠城垛
坚石壁垒</v>
      </c>
      <c r="C11" s="768" t="str">
        <f>VLOOKUP("摩根的背袋", Data!$B:$D,F1, FALSE)</f>
        <v>摩根的小包</v>
      </c>
      <c r="D11" s="768" t="s">
        <v>2267</v>
      </c>
    </row>
    <row r="12" spans="1:6">
      <c r="A12" s="530" t="str">
        <f>VLOOKUP("摩根的日誌：第二篇", Data!$B:$D,F1, FALSE)</f>
        <v>摩根的日志二</v>
      </c>
      <c r="B12" s="769"/>
      <c r="C12" s="769"/>
      <c r="D12" s="769"/>
    </row>
    <row r="13" spans="1:6">
      <c r="A13" s="531" t="str">
        <f>VLOOKUP("摩根的日誌：第三篇", Data!$B:$D,F1, FALSE)</f>
        <v>摩根的日志三</v>
      </c>
      <c r="B13" s="770"/>
      <c r="C13" s="769"/>
      <c r="D13" s="770"/>
    </row>
    <row r="14" spans="1:6" ht="17" thickBot="1">
      <c r="A14" s="532"/>
      <c r="B14" s="415"/>
      <c r="C14" s="415"/>
      <c r="D14" s="415"/>
    </row>
    <row r="15" spans="1:6" ht="23" thickBot="1">
      <c r="A15" s="749" t="str">
        <f>VLOOKUP("諜報活動", Data!$B:$D,F1, FALSE)</f>
        <v>谍报活动</v>
      </c>
      <c r="B15" s="750"/>
      <c r="C15" s="750"/>
      <c r="D15" s="751"/>
    </row>
    <row r="16" spans="1:6" s="73" customFormat="1">
      <c r="A16" s="490" t="s">
        <v>3665</v>
      </c>
      <c r="B16" s="491" t="s">
        <v>3666</v>
      </c>
      <c r="C16" s="492" t="s">
        <v>3667</v>
      </c>
      <c r="D16" s="493" t="s">
        <v>3668</v>
      </c>
    </row>
    <row r="17" spans="1:4">
      <c r="A17" s="529" t="str">
        <f>VLOOKUP("戰場報告", Data!$B:$D,F1, FALSE)</f>
        <v>战斗报告</v>
      </c>
      <c r="B17" s="337" t="str">
        <f>VLOOKUP("戰場", Data!$B:$D,F1, FALSE)</f>
        <v>战场</v>
      </c>
      <c r="C17" s="337"/>
      <c r="D17" s="338" t="s">
        <v>2178</v>
      </c>
    </row>
    <row r="18" spans="1:4">
      <c r="A18" s="529" t="str">
        <f>VLOOKUP("阿茲莫丹的命令之一", Data!$B:$D,F1, FALSE)</f>
        <v>阿兹莫丹的命令一</v>
      </c>
      <c r="B18" s="337" t="str">
        <f>VLOOKUP("天冠城垛", Data!$B:$D,F1, FALSE)</f>
        <v>天冠城垛</v>
      </c>
      <c r="C18" s="768" t="str">
        <f>VLOOKUP("阿茲莫丹的信使", Data!$B:$D,F1, FALSE)</f>
        <v>阿兹莫丹的信使</v>
      </c>
      <c r="D18" s="338" t="s">
        <v>2180</v>
      </c>
    </row>
    <row r="19" spans="1:4">
      <c r="A19" s="529" t="str">
        <f>VLOOKUP("阿茲莫丹的命令之二", Data!$B:$D,F1, FALSE)</f>
        <v>阿兹莫丹的命令二</v>
      </c>
      <c r="B19" s="337" t="str">
        <f>VLOOKUP("石壘", Data!$B:$D,F1, FALSE)</f>
        <v>坚石壁垒</v>
      </c>
      <c r="C19" s="769"/>
      <c r="D19" s="338" t="s">
        <v>2181</v>
      </c>
    </row>
    <row r="20" spans="1:4">
      <c r="A20" s="529" t="str">
        <f>VLOOKUP("阿茲莫丹的命令之三", Data!$B:$D,F1, FALSE)</f>
        <v>阿兹莫丹的命令三</v>
      </c>
      <c r="B20" s="337" t="str">
        <f>VLOOKUP("要塞下層", Data!$B:$D,F1, FALSE)</f>
        <v>要塞深渊</v>
      </c>
      <c r="C20" s="769"/>
      <c r="D20" s="338" t="s">
        <v>2182</v>
      </c>
    </row>
    <row r="21" spans="1:4">
      <c r="A21" s="529" t="str">
        <f>VLOOKUP("阿茲莫丹的命令之四", Data!$B:$D,F1, FALSE)</f>
        <v>阿兹莫丹的命令四</v>
      </c>
      <c r="B21" s="337" t="str">
        <f>VLOOKUP("戰場", Data!$B:$D,F1, FALSE)</f>
        <v>战场</v>
      </c>
      <c r="C21" s="769"/>
      <c r="D21" s="338" t="s">
        <v>3669</v>
      </c>
    </row>
    <row r="22" spans="1:4">
      <c r="A22" s="529" t="str">
        <f>VLOOKUP("阿茲莫丹的命令之五", Data!$B:$D,F1, FALSE)</f>
        <v>阿兹莫丹的命令五</v>
      </c>
      <c r="B22" s="337" t="str">
        <f>VLOOKUP("殺戮戰場", Data!$B:$D,F1, FALSE)</f>
        <v>血腥战场</v>
      </c>
      <c r="C22" s="769"/>
      <c r="D22" s="338" t="s">
        <v>2183</v>
      </c>
    </row>
    <row r="23" spans="1:4">
      <c r="A23" s="529" t="str">
        <f>VLOOKUP("阿茲莫丹的命令之六", Data!$B:$D,F1, FALSE)</f>
        <v>阿兹莫丹的命令六</v>
      </c>
      <c r="B23" s="337" t="str">
        <f>VLOOKUP("亞瑞特巨坑第一層", Data!$B:$D,F1, FALSE)</f>
        <v>亚瑞特巨坑一层</v>
      </c>
      <c r="C23" s="770"/>
      <c r="D23" s="338" t="s">
        <v>2184</v>
      </c>
    </row>
    <row r="24" spans="1:4" ht="17" thickBot="1">
      <c r="A24" s="532"/>
      <c r="B24" s="415"/>
      <c r="C24" s="415"/>
      <c r="D24" s="415"/>
    </row>
    <row r="25" spans="1:4" ht="23" thickBot="1">
      <c r="A25" s="749" t="str">
        <f>VLOOKUP("亞瑞特史學家", Data!$B:$D,F1, FALSE)</f>
        <v>亚瑞特史学家</v>
      </c>
      <c r="B25" s="750"/>
      <c r="C25" s="750"/>
      <c r="D25" s="751"/>
    </row>
    <row r="26" spans="1:4" s="73" customFormat="1">
      <c r="A26" s="490" t="s">
        <v>2289</v>
      </c>
      <c r="B26" s="491" t="s">
        <v>2290</v>
      </c>
      <c r="C26" s="492" t="s">
        <v>2291</v>
      </c>
      <c r="D26" s="493" t="s">
        <v>2292</v>
      </c>
    </row>
    <row r="27" spans="1:4">
      <c r="A27" s="533" t="str">
        <f>VLOOKUP("野蠻人一族的沒落：第一篇", Data!$B:$D,F1, FALSE)</f>
        <v>野蛮人的堕落,第一部分</v>
      </c>
      <c r="B27" s="768" t="str">
        <f>VLOOKUP("要塞下層", Data!$B:$D,F1, FALSE)
&amp;CHAR(10)&amp;VLOOKUP("戰場-戰場儲備所", Data!$B:$D,F1, FALSE)
&amp;CHAR(10)&amp;VLOOKUP("戰場-鑄造廠", Data!$B:$D,F1, FALSE)
&amp;CHAR(10)&amp;"…"</f>
        <v>要塞深渊
战场-战备物资储藏室
战场-铸造间
…</v>
      </c>
      <c r="C27" s="768" t="str">
        <f>VLOOKUP("錯放的背包", Data!$B:$D,F1, FALSE)</f>
        <v>放错地方的背包</v>
      </c>
      <c r="D27" s="338" t="s">
        <v>2186</v>
      </c>
    </row>
    <row r="28" spans="1:4">
      <c r="A28" s="533" t="str">
        <f>VLOOKUP("野蠻人一族的沒落：第二篇", Data!$B:$D,F1, FALSE)</f>
        <v>野蛮人的堕落,第二部分</v>
      </c>
      <c r="B28" s="769"/>
      <c r="C28" s="769"/>
      <c r="D28" s="338" t="s">
        <v>2187</v>
      </c>
    </row>
    <row r="29" spans="1:4">
      <c r="A29" s="533" t="str">
        <f>VLOOKUP("野蠻人一族的沒落：第三篇", Data!$B:$D,F1, FALSE)</f>
        <v>野蛮人的堕落,第三部分</v>
      </c>
      <c r="B29" s="769"/>
      <c r="C29" s="769"/>
      <c r="D29" s="338" t="s">
        <v>2188</v>
      </c>
    </row>
    <row r="30" spans="1:4">
      <c r="A30" s="533" t="str">
        <f>VLOOKUP("野蠻人一族的沒落：第四篇", Data!$B:$D,F1, FALSE)</f>
        <v>野蛮人的堕落,第四部分</v>
      </c>
      <c r="B30" s="769"/>
      <c r="C30" s="769"/>
      <c r="D30" s="338" t="s">
        <v>2189</v>
      </c>
    </row>
    <row r="31" spans="1:4">
      <c r="A31" s="533" t="str">
        <f>VLOOKUP("野蠻人一族的沒落：第五篇", Data!$B:$D,F1, FALSE)</f>
        <v>野蛮人的堕落,第五部分</v>
      </c>
      <c r="B31" s="769"/>
      <c r="C31" s="770"/>
      <c r="D31" s="338" t="s">
        <v>2190</v>
      </c>
    </row>
    <row r="32" spans="1:4">
      <c r="A32" s="533" t="str">
        <f>VLOOKUP("戍衛要塞的歷史", Data!$B:$D,F1, FALSE)</f>
        <v>巴斯廷要塞史</v>
      </c>
      <c r="B32" s="770"/>
      <c r="C32" s="337" t="str">
        <f>VLOOKUP("圖書管理員的卷軸", Data!$B:$D,F1, FALSE)</f>
        <v>图书管理员的卷轴</v>
      </c>
      <c r="D32" s="338" t="s">
        <v>2192</v>
      </c>
    </row>
    <row r="33" spans="1:4" ht="17" thickBot="1">
      <c r="A33" s="534"/>
      <c r="B33" s="416"/>
      <c r="C33" s="416"/>
      <c r="D33" s="416"/>
    </row>
    <row r="34" spans="1:4" ht="17" thickBot="1">
      <c r="A34" s="762" t="s">
        <v>538</v>
      </c>
      <c r="B34" s="763"/>
      <c r="C34" s="763"/>
      <c r="D34" s="764"/>
    </row>
    <row r="35" spans="1:4">
      <c r="A35" s="765" t="s">
        <v>539</v>
      </c>
      <c r="B35" s="766"/>
      <c r="C35" s="766"/>
      <c r="D35" s="767"/>
    </row>
    <row r="36" spans="1:4">
      <c r="A36" s="765" t="s">
        <v>540</v>
      </c>
      <c r="B36" s="766"/>
      <c r="C36" s="766"/>
      <c r="D36" s="767"/>
    </row>
    <row r="37" spans="1:4">
      <c r="A37" s="765" t="s">
        <v>541</v>
      </c>
      <c r="B37" s="766"/>
      <c r="C37" s="766"/>
      <c r="D37" s="767"/>
    </row>
    <row r="38" spans="1:4">
      <c r="A38" s="765" t="s">
        <v>542</v>
      </c>
      <c r="B38" s="766"/>
      <c r="C38" s="766"/>
      <c r="D38" s="767"/>
    </row>
    <row r="39" spans="1:4">
      <c r="A39" s="765" t="s">
        <v>543</v>
      </c>
      <c r="B39" s="766"/>
      <c r="C39" s="766"/>
      <c r="D39" s="767"/>
    </row>
    <row r="40" spans="1:4">
      <c r="A40" s="765" t="s">
        <v>2106</v>
      </c>
      <c r="B40" s="766"/>
      <c r="C40" s="766"/>
      <c r="D40" s="767"/>
    </row>
    <row r="41" spans="1:4" ht="17" thickBot="1">
      <c r="A41" s="759" t="s">
        <v>2107</v>
      </c>
      <c r="B41" s="760"/>
      <c r="C41" s="760"/>
      <c r="D41" s="761"/>
    </row>
  </sheetData>
  <mergeCells count="19">
    <mergeCell ref="B27:B32"/>
    <mergeCell ref="C27:C31"/>
    <mergeCell ref="A15:D15"/>
    <mergeCell ref="A25:D25"/>
    <mergeCell ref="A2:D2"/>
    <mergeCell ref="C7:C10"/>
    <mergeCell ref="C11:C13"/>
    <mergeCell ref="B7:B10"/>
    <mergeCell ref="D11:D13"/>
    <mergeCell ref="C18:C23"/>
    <mergeCell ref="B11:B13"/>
    <mergeCell ref="A41:D41"/>
    <mergeCell ref="A34:D34"/>
    <mergeCell ref="A35:D35"/>
    <mergeCell ref="A36:D36"/>
    <mergeCell ref="A37:D37"/>
    <mergeCell ref="A38:D38"/>
    <mergeCell ref="A39:D39"/>
    <mergeCell ref="A40:D40"/>
  </mergeCells>
  <phoneticPr fontId="34" type="noConversion"/>
  <dataValidations count="1">
    <dataValidation type="list" allowBlank="1" showInputMessage="1" showErrorMessage="1" sqref="E1" xr:uid="{00000000-0002-0000-0900-000000000000}">
      <formula1>"繁體中文,简体中文"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3"/>
  <sheetViews>
    <sheetView workbookViewId="0">
      <pane ySplit="1" topLeftCell="A2" activePane="bottomLeft" state="frozen"/>
      <selection pane="bottomLeft"/>
    </sheetView>
  </sheetViews>
  <sheetFormatPr defaultColWidth="9" defaultRowHeight="16.5"/>
  <cols>
    <col min="1" max="1" width="25.58203125" style="73" customWidth="1"/>
    <col min="2" max="2" width="25.58203125" style="417" customWidth="1"/>
    <col min="3" max="3" width="15.58203125" style="75" customWidth="1"/>
    <col min="4" max="4" width="75.58203125" style="75" customWidth="1"/>
    <col min="5" max="16384" width="9" style="75"/>
  </cols>
  <sheetData>
    <row r="1" spans="1:6" ht="17" thickBot="1">
      <c r="A1" s="73" t="s">
        <v>2023</v>
      </c>
      <c r="B1" s="168" t="s">
        <v>2209</v>
      </c>
      <c r="D1" s="76" t="s">
        <v>2021</v>
      </c>
      <c r="E1" s="573" t="s">
        <v>3676</v>
      </c>
      <c r="F1" s="319">
        <f>VLOOKUP(E1,Data!$A:$B,2, FALSE)</f>
        <v>2</v>
      </c>
    </row>
    <row r="2" spans="1:6" ht="23" thickBot="1">
      <c r="A2" s="749" t="str">
        <f>VLOOKUP("萬事通", Data!$B:$D,F1, FALSE)</f>
        <v>无所不知</v>
      </c>
      <c r="B2" s="750"/>
      <c r="C2" s="750"/>
      <c r="D2" s="751"/>
    </row>
    <row r="3" spans="1:6" s="73" customFormat="1">
      <c r="A3" s="490" t="s">
        <v>2289</v>
      </c>
      <c r="B3" s="491" t="s">
        <v>2290</v>
      </c>
      <c r="C3" s="492" t="s">
        <v>2291</v>
      </c>
      <c r="D3" s="493" t="s">
        <v>2292</v>
      </c>
    </row>
    <row r="4" spans="1:6" ht="24" customHeight="1">
      <c r="A4" s="535" t="str">
        <f>VLOOKUP("遺願", Data!$B:$D,F1, FALSE)</f>
        <v>临终遗愿</v>
      </c>
      <c r="B4" s="418" t="str">
        <f>VLOOKUP("戍衛要塞堡壘", Data!$B:$D,F1, FALSE)</f>
        <v>巴斯廷要塞据点</v>
      </c>
      <c r="C4" s="418" t="str">
        <f>VLOOKUP("瑪塔", Data!$B:$D,F1, FALSE)</f>
        <v>玛塔</v>
      </c>
      <c r="D4" s="418" t="s">
        <v>2194</v>
      </c>
    </row>
    <row r="5" spans="1:6">
      <c r="A5" s="535" t="str">
        <f>VLOOKUP("安傑瑞斯議會", Data!$B:$D,F1, FALSE)</f>
        <v>天使会议</v>
      </c>
      <c r="B5" s="771" t="str">
        <f>VLOOKUP("希望園圃第二階", Data!$B:$D,F1, FALSE)
&amp;CHAR(10)&amp;VLOOKUP("希望園圃第一階", Data!$B:$D,F1, FALSE)
&amp;CHAR(10)&amp;VLOOKUP("地獄之門", Data!$B:$D,F1, FALSE)</f>
        <v>希望花园二层
希望花园一层
地狱裂隙</v>
      </c>
      <c r="C5" s="771" t="str">
        <f>VLOOKUP("安傑瑞斯文庫", Data!$B:$D,F1, FALSE)</f>
        <v>天使档案</v>
      </c>
      <c r="D5" s="771" t="s">
        <v>2063</v>
      </c>
    </row>
    <row r="6" spans="1:6">
      <c r="A6" s="535" t="str">
        <f>VLOOKUP("望天使奧莉爾", Data!$B:$D,F1, FALSE)</f>
        <v>大天使奥莉尔,希望天使</v>
      </c>
      <c r="B6" s="772"/>
      <c r="C6" s="772"/>
      <c r="D6" s="772"/>
    </row>
    <row r="7" spans="1:6">
      <c r="A7" s="535" t="str">
        <f>VLOOKUP("勇天使英普瑞斯", Data!$B:$D,F1, FALSE)</f>
        <v>大天使英普瑞斯,勇气天使</v>
      </c>
      <c r="B7" s="772"/>
      <c r="C7" s="772"/>
      <c r="D7" s="772"/>
    </row>
    <row r="8" spans="1:6">
      <c r="A8" s="535" t="str">
        <f>VLOOKUP("命天使伊瑟瑞爾", Data!$B:$D,F1, FALSE)</f>
        <v>大天使伊瑟瑞尔,命运天使</v>
      </c>
      <c r="B8" s="772"/>
      <c r="C8" s="772"/>
      <c r="D8" s="772"/>
    </row>
    <row r="9" spans="1:6">
      <c r="A9" s="535" t="str">
        <f>VLOOKUP("智天使馬瑟爾", Data!$B:$D,F1, FALSE)</f>
        <v>大天使马萨伊尔,智慧天使</v>
      </c>
      <c r="B9" s="772"/>
      <c r="C9" s="772"/>
      <c r="D9" s="772"/>
    </row>
    <row r="10" spans="1:6">
      <c r="A10" s="535" t="str">
        <f>VLOOKUP("義天使泰瑞爾", Data!$B:$D,F1, FALSE)</f>
        <v>大天使泰瑞尔,正义天使</v>
      </c>
      <c r="B10" s="773"/>
      <c r="C10" s="773"/>
      <c r="D10" s="773"/>
    </row>
    <row r="11" spans="1:6">
      <c r="A11" s="535" t="str">
        <f>VLOOKUP("伊卒爾的沉淪", Data!$B:$D,F1, FALSE)</f>
        <v>衣卒尔的沦落</v>
      </c>
      <c r="B11" s="418" t="str">
        <f>VLOOKUP("天翼橋", Data!$B:$D,F1, FALSE)</f>
        <v>晶天廊</v>
      </c>
      <c r="C11" s="419" t="str">
        <f>VLOOKUP("伊卒爾", Data!$B:$D,F1, FALSE)</f>
        <v>衣卒尔</v>
      </c>
      <c r="D11" s="420" t="s">
        <v>2198</v>
      </c>
    </row>
    <row r="12" spans="1:6" ht="17" thickBot="1">
      <c r="A12" s="532"/>
      <c r="B12" s="415"/>
      <c r="C12" s="415"/>
      <c r="D12" s="415"/>
    </row>
    <row r="13" spans="1:6" ht="23" thickBot="1">
      <c r="A13" s="749" t="str">
        <f>VLOOKUP("檔案學", Data!$B:$D,F1, FALSE)</f>
        <v>档案研究</v>
      </c>
      <c r="B13" s="750"/>
      <c r="C13" s="750"/>
      <c r="D13" s="751"/>
    </row>
    <row r="14" spans="1:6" s="73" customFormat="1">
      <c r="A14" s="490" t="s">
        <v>2289</v>
      </c>
      <c r="B14" s="491" t="s">
        <v>2290</v>
      </c>
      <c r="C14" s="492" t="s">
        <v>2291</v>
      </c>
      <c r="D14" s="493" t="s">
        <v>2292</v>
      </c>
    </row>
    <row r="15" spans="1:6">
      <c r="A15" s="535" t="str">
        <f>VLOOKUP("涅法雷姆的命運：第一篇", Data!$B:$D,F1, FALSE)</f>
        <v>奈非天的命运,第一部分</v>
      </c>
      <c r="B15" s="771" t="str">
        <f>VLOOKUP("銀光尖塔", Data!$B:$D,F1, FALSE)
&amp;CHAR(10)&amp;VLOOKUP("天翼橋", Data!$B:$D,F1, FALSE)</f>
        <v>银色高塔
晶天廊</v>
      </c>
      <c r="C15" s="771" t="str">
        <f>VLOOKUP("安傑瑞斯文庫 ", Data!$B:$D,F1, FALSE)</f>
        <v>天使宝库</v>
      </c>
      <c r="D15" s="420" t="s">
        <v>2200</v>
      </c>
    </row>
    <row r="16" spans="1:6">
      <c r="A16" s="535" t="str">
        <f>VLOOKUP("涅法雷姆的命運：第二篇", Data!$B:$D,F1, FALSE)</f>
        <v>奈非天的命运,第二部分</v>
      </c>
      <c r="B16" s="772"/>
      <c r="C16" s="772"/>
      <c r="D16" s="420" t="s">
        <v>2201</v>
      </c>
    </row>
    <row r="17" spans="1:4">
      <c r="A17" s="535" t="str">
        <f>VLOOKUP("涅法雷姆的命運：第三篇", Data!$B:$D,F1, FALSE)</f>
        <v>奈非天的命运,第三部分</v>
      </c>
      <c r="B17" s="773"/>
      <c r="C17" s="773"/>
      <c r="D17" s="420" t="s">
        <v>2202</v>
      </c>
    </row>
    <row r="18" spans="1:4" ht="17" thickBot="1">
      <c r="A18" s="532"/>
      <c r="B18" s="415"/>
      <c r="C18" s="415"/>
      <c r="D18" s="415"/>
    </row>
    <row r="19" spans="1:4" ht="23" thickBot="1">
      <c r="A19" s="749" t="str">
        <f>VLOOKUP("至高天史學家", Data!$B:$D,F1, FALSE)</f>
        <v>高阶天堂史学家</v>
      </c>
      <c r="B19" s="750"/>
      <c r="C19" s="750"/>
      <c r="D19" s="751"/>
    </row>
    <row r="20" spans="1:4" s="73" customFormat="1">
      <c r="A20" s="490" t="s">
        <v>2289</v>
      </c>
      <c r="B20" s="491" t="s">
        <v>2290</v>
      </c>
      <c r="C20" s="492" t="s">
        <v>2291</v>
      </c>
      <c r="D20" s="493" t="s">
        <v>2292</v>
      </c>
    </row>
    <row r="21" spans="1:4">
      <c r="A21" s="535" t="str">
        <f>VLOOKUP("聖修亞瑞的誕生：第一篇", Data!$B:$D,F1, FALSE)</f>
        <v>庇护之地的创生,第一部分</v>
      </c>
      <c r="B21" s="771" t="str">
        <f>VLOOKUP("銀光尖塔", Data!$B:$D,F1, FALSE)
&amp;CHAR(10)&amp;VLOOKUP("天翼橋", Data!$B:$D,F1, FALSE)</f>
        <v>银色高塔
晶天廊</v>
      </c>
      <c r="C21" s="771" t="str">
        <f>VLOOKUP("安傑瑞斯文庫 ", Data!$B:$D,F1, FALSE)</f>
        <v>天使宝库</v>
      </c>
      <c r="D21" s="420" t="s">
        <v>2203</v>
      </c>
    </row>
    <row r="22" spans="1:4">
      <c r="A22" s="535" t="str">
        <f>VLOOKUP("聖修亞瑞的誕生：第二篇", Data!$B:$D,F1, FALSE)</f>
        <v>庇护之地的创生,第二部分</v>
      </c>
      <c r="B22" s="772"/>
      <c r="C22" s="772"/>
      <c r="D22" s="420" t="s">
        <v>2204</v>
      </c>
    </row>
    <row r="23" spans="1:4">
      <c r="A23" s="535" t="str">
        <f>VLOOKUP("聖修亞瑞的誕生：第三篇", Data!$B:$D,F1, FALSE)</f>
        <v>庇护之地的创生,第三部分</v>
      </c>
      <c r="B23" s="772"/>
      <c r="C23" s="772"/>
      <c r="D23" s="420" t="s">
        <v>2205</v>
      </c>
    </row>
    <row r="24" spans="1:4">
      <c r="A24" s="535" t="str">
        <f>VLOOKUP("聖修亞瑞的誕生：第四篇", Data!$B:$D,F1, FALSE)</f>
        <v>庇护之地的创生,第四部分</v>
      </c>
      <c r="B24" s="773"/>
      <c r="C24" s="773"/>
      <c r="D24" s="420" t="s">
        <v>2206</v>
      </c>
    </row>
    <row r="25" spans="1:4" ht="17" thickBot="1">
      <c r="A25" s="534"/>
      <c r="B25" s="416"/>
      <c r="C25" s="416"/>
      <c r="D25" s="416"/>
    </row>
    <row r="26" spans="1:4" ht="17" thickBot="1">
      <c r="A26" s="762" t="s">
        <v>538</v>
      </c>
      <c r="B26" s="763"/>
      <c r="C26" s="763"/>
      <c r="D26" s="764"/>
    </row>
    <row r="27" spans="1:4">
      <c r="A27" s="765" t="s">
        <v>539</v>
      </c>
      <c r="B27" s="766"/>
      <c r="C27" s="766"/>
      <c r="D27" s="767"/>
    </row>
    <row r="28" spans="1:4">
      <c r="A28" s="765" t="s">
        <v>540</v>
      </c>
      <c r="B28" s="766"/>
      <c r="C28" s="766"/>
      <c r="D28" s="767"/>
    </row>
    <row r="29" spans="1:4">
      <c r="A29" s="765" t="s">
        <v>541</v>
      </c>
      <c r="B29" s="766"/>
      <c r="C29" s="766"/>
      <c r="D29" s="767"/>
    </row>
    <row r="30" spans="1:4">
      <c r="A30" s="765" t="s">
        <v>542</v>
      </c>
      <c r="B30" s="766"/>
      <c r="C30" s="766"/>
      <c r="D30" s="767"/>
    </row>
    <row r="31" spans="1:4">
      <c r="A31" s="765" t="s">
        <v>543</v>
      </c>
      <c r="B31" s="766"/>
      <c r="C31" s="766"/>
      <c r="D31" s="767"/>
    </row>
    <row r="32" spans="1:4">
      <c r="A32" s="765" t="s">
        <v>2106</v>
      </c>
      <c r="B32" s="766"/>
      <c r="C32" s="766"/>
      <c r="D32" s="767"/>
    </row>
    <row r="33" spans="1:4" ht="17" thickBot="1">
      <c r="A33" s="759" t="s">
        <v>2107</v>
      </c>
      <c r="B33" s="760"/>
      <c r="C33" s="760"/>
      <c r="D33" s="761"/>
    </row>
  </sheetData>
  <mergeCells count="18">
    <mergeCell ref="A2:D2"/>
    <mergeCell ref="C5:C10"/>
    <mergeCell ref="B5:B10"/>
    <mergeCell ref="D5:D10"/>
    <mergeCell ref="A19:D19"/>
    <mergeCell ref="B21:B24"/>
    <mergeCell ref="C21:C24"/>
    <mergeCell ref="A13:D13"/>
    <mergeCell ref="A33:D33"/>
    <mergeCell ref="A26:D26"/>
    <mergeCell ref="A27:D27"/>
    <mergeCell ref="A28:D28"/>
    <mergeCell ref="A29:D29"/>
    <mergeCell ref="A30:D30"/>
    <mergeCell ref="A31:D31"/>
    <mergeCell ref="A32:D32"/>
    <mergeCell ref="B15:B17"/>
    <mergeCell ref="C15:C17"/>
  </mergeCells>
  <phoneticPr fontId="34" type="noConversion"/>
  <dataValidations count="1">
    <dataValidation type="list" allowBlank="1" showInputMessage="1" showErrorMessage="1" sqref="E1" xr:uid="{00000000-0002-0000-0A00-000000000000}">
      <formula1>"繁體中文,简体中文"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"/>
  <sheetViews>
    <sheetView tabSelected="1" workbookViewId="0">
      <pane ySplit="1" topLeftCell="A29" activePane="bottomLeft" state="frozen"/>
      <selection pane="bottomLeft" activeCell="D45" sqref="D45"/>
    </sheetView>
  </sheetViews>
  <sheetFormatPr defaultColWidth="9" defaultRowHeight="16.5"/>
  <cols>
    <col min="1" max="1" width="25.58203125" style="73" customWidth="1"/>
    <col min="2" max="2" width="25.58203125" style="75" customWidth="1"/>
    <col min="3" max="3" width="15.58203125" style="75" customWidth="1"/>
    <col min="4" max="4" width="75.58203125" style="75" customWidth="1"/>
    <col min="5" max="5" width="8.9140625" style="75" customWidth="1"/>
    <col min="6" max="16384" width="9" style="75"/>
  </cols>
  <sheetData>
    <row r="1" spans="1:6" ht="17" thickBot="1">
      <c r="A1" s="73" t="s">
        <v>2023</v>
      </c>
      <c r="B1" s="74" t="s">
        <v>2032</v>
      </c>
      <c r="D1" s="76" t="s">
        <v>2021</v>
      </c>
      <c r="E1" s="573" t="s">
        <v>3676</v>
      </c>
      <c r="F1" s="319">
        <f>VLOOKUP(E1,Data!$A:$B,2, FALSE)</f>
        <v>2</v>
      </c>
    </row>
    <row r="2" spans="1:6" ht="23" thickBot="1">
      <c r="A2" s="749" t="str">
        <f>VLOOKUP("尋人高手", Data!$B:$D,F1, FALSE)</f>
        <v>找人专家</v>
      </c>
      <c r="B2" s="750"/>
      <c r="C2" s="750"/>
      <c r="D2" s="751"/>
    </row>
    <row r="3" spans="1:6" s="73" customFormat="1">
      <c r="A3" s="490" t="s">
        <v>2289</v>
      </c>
      <c r="B3" s="491" t="s">
        <v>2290</v>
      </c>
      <c r="C3" s="492" t="s">
        <v>2291</v>
      </c>
      <c r="D3" s="493" t="s">
        <v>2292</v>
      </c>
    </row>
    <row r="4" spans="1:6">
      <c r="A4" s="536" t="str">
        <f>VLOOKUP("屍王克提斯的日誌", Data!$B:$D,F1, FALSE)</f>
        <v>克迪斯勋爵的日志</v>
      </c>
      <c r="B4" s="421" t="str">
        <f>VLOOKUP("溺水沼地", Data!$B:$D,F1, FALSE)</f>
        <v>漫水古道</v>
      </c>
      <c r="C4" s="421" t="str">
        <f>VLOOKUP("屍王克提斯", Data!$B:$D,F1, FALSE)</f>
        <v>克迪斯勋爵</v>
      </c>
      <c r="D4" s="466" t="s">
        <v>3677</v>
      </c>
    </row>
    <row r="5" spans="1:6">
      <c r="A5" s="536" t="str">
        <f>VLOOKUP("失心瘋言", Data!$B:$D,F1, FALSE)</f>
        <v>失心疯言</v>
      </c>
      <c r="B5" s="421" t="str">
        <f>VLOOKUP("衛斯馬屈山城區-瘋狂之屋", Data!$B:$D,F1, FALSE)</f>
        <v>威斯特玛上城区-疯狂之屋</v>
      </c>
      <c r="C5" s="421"/>
      <c r="D5" s="466" t="s">
        <v>3678</v>
      </c>
    </row>
    <row r="6" spans="1:6">
      <c r="A6" s="536" t="str">
        <f>VLOOKUP("恐怖的秘密", Data!$B:$D,F1, FALSE)</f>
        <v>可怕的秘密</v>
      </c>
      <c r="B6" s="421" t="str">
        <f>VLOOKUP("衛斯馬屈城中區-沉痛之屋", Data!$B:$D,F1, FALSE)</f>
        <v>威斯特玛城中区-深悲之屋</v>
      </c>
      <c r="C6" s="421"/>
      <c r="D6" s="466" t="s">
        <v>3679</v>
      </c>
    </row>
    <row r="7" spans="1:6" ht="39">
      <c r="A7" s="536" t="str">
        <f>VLOOKUP("團長的公告", Data!$B:$D,F1, FALSE)</f>
        <v>大团长的谕令</v>
      </c>
      <c r="B7" s="421" t="str">
        <f>VLOOKUP("聖堂騎士團秘密據點", Data!$B:$D,F1, FALSE)</f>
        <v>圣殿骑士团秘密据点</v>
      </c>
      <c r="C7" s="421" t="str">
        <f>VLOOKUP("聖堂騎士", Data!$B:$D,F1, FALSE)</f>
        <v>圣殿骑士柯麦克</v>
      </c>
      <c r="D7" s="466" t="s">
        <v>3680</v>
      </c>
    </row>
    <row r="8" spans="1:6" ht="24" customHeight="1">
      <c r="A8" s="774" t="str">
        <f>VLOOKUP("厄傑爾的日誌：第一～三篇", Data!$B:$D,F1, FALSE)</f>
        <v>厄兹尔的日志一～三</v>
      </c>
      <c r="B8" s="776" t="str">
        <f>VLOOKUP("衛斯馬屈城中區", Data!$B:$D,F1, FALSE)
&amp;CHAR(10)&amp;VLOOKUP("衛斯馬屈城中區-基甸街", Data!$B:$D,F1, FALSE)</f>
        <v>威斯特玛城中区
威斯特玛城中区-吉迪恩大街</v>
      </c>
      <c r="C8" s="776" t="str">
        <f>VLOOKUP("厄傑爾的背袋", Data!$B:$D,F1, FALSE)</f>
        <v>厄兹尔的小包</v>
      </c>
      <c r="D8" s="780" t="s">
        <v>3681</v>
      </c>
    </row>
    <row r="9" spans="1:6">
      <c r="A9" s="775"/>
      <c r="B9" s="777"/>
      <c r="C9" s="777"/>
      <c r="D9" s="781"/>
    </row>
    <row r="10" spans="1:6">
      <c r="A10" s="536" t="str">
        <f>VLOOKUP("國王的日誌：第一篇", Data!$B:$D,F1, FALSE)</f>
        <v>国王的日志一</v>
      </c>
      <c r="B10" s="421" t="str">
        <f>VLOOKUP("衛斯馬屈城中區-遇襲的宅邸", Data!$B:$D,F1, FALSE)</f>
        <v>威斯特玛城中区-遇袭的宅邸</v>
      </c>
      <c r="C10" s="421" t="str">
        <f>VLOOKUP("塞佛林", Data!$B:$D,F1, FALSE)</f>
        <v>瑟夫林</v>
      </c>
      <c r="D10" s="466" t="s">
        <v>3682</v>
      </c>
    </row>
    <row r="11" spans="1:6">
      <c r="A11" s="536" t="str">
        <f>VLOOKUP("國王的日誌：第二篇", Data!$B:$D,F1, FALSE)</f>
        <v>国王的日志二</v>
      </c>
      <c r="B11" s="421" t="str">
        <f>VLOOKUP("衛斯馬屈山城區-克萊夫頓大廳", Data!$B:$D,F1, FALSE)</f>
        <v>威斯特玛上城区-克里夫顿大厅</v>
      </c>
      <c r="C11" s="421" t="str">
        <f>VLOOKUP("文頓領主", Data!$B:$D,F1, FALSE)</f>
        <v>怀顿领主</v>
      </c>
      <c r="D11" s="466" t="s">
        <v>3683</v>
      </c>
      <c r="E11" s="423"/>
    </row>
    <row r="12" spans="1:6">
      <c r="A12" s="536" t="str">
        <f>VLOOKUP("國王寫給文頓領主的短箋", Data!$B:$D,F1, FALSE)</f>
        <v>国王寄给怀顿勋爵的信</v>
      </c>
      <c r="B12" s="421" t="str">
        <f>VLOOKUP("衛斯馬屈城中區-文頓庭院", Data!$B:$D,F1, FALSE)</f>
        <v>威斯特玛城中区-怀顿庭院</v>
      </c>
      <c r="C12" s="421" t="str">
        <f>VLOOKUP("葛瑞爾", Data!$B:$D,F1, FALSE)</f>
        <v>格雷尔</v>
      </c>
      <c r="D12" s="466" t="s">
        <v>3684</v>
      </c>
    </row>
    <row r="13" spans="1:6" ht="24" customHeight="1">
      <c r="A13" s="774" t="str">
        <f>VLOOKUP("愛德莉雅的日誌：第一～九篇", Data!$B:$D,F1, FALSE)</f>
        <v>艾德莉亚的日志一～九</v>
      </c>
      <c r="B13" s="776" t="str">
        <f>VLOOKUP("血沼澤", Data!$B:$D,F1, FALSE)
&amp;CHAR(10)&amp;VLOOKUP("溺水沼地", Data!$B:$D,F1, FALSE)</f>
        <v>鲜血沼泽
漫水古道</v>
      </c>
      <c r="C13" s="776" t="str">
        <f>VLOOKUP("愛德莉雅的背袋", Data!$B:$D,F1, FALSE)</f>
        <v>艾德莉亚的小包</v>
      </c>
      <c r="D13" s="780" t="s">
        <v>3685</v>
      </c>
    </row>
    <row r="14" spans="1:6">
      <c r="A14" s="775"/>
      <c r="B14" s="777"/>
      <c r="C14" s="777"/>
      <c r="D14" s="781"/>
    </row>
    <row r="15" spans="1:6" ht="24" customHeight="1">
      <c r="A15" s="778" t="str">
        <f>VLOOKUP("拉基斯的日誌：第一～九篇", Data!$B:$D,F1, FALSE)</f>
        <v>拉基斯的誓约一～九</v>
      </c>
      <c r="B15" s="776" t="str">
        <f>VLOOKUP("寇佛斯入口", Data!$B:$D,F1, FALSE)
&amp;CHAR(10)&amp;VLOOKUP("寇佛斯遺跡", Data!$B:$D,F1, FALSE)</f>
        <v>往科乌斯之路
科乌斯废墟</v>
      </c>
      <c r="C15" s="776" t="str">
        <f>VLOOKUP("拉基斯的日誌", Data!$B:$D,F1, FALSE)</f>
        <v>拉基斯的誓约</v>
      </c>
      <c r="D15" s="780" t="s">
        <v>3686</v>
      </c>
    </row>
    <row r="16" spans="1:6">
      <c r="A16" s="779"/>
      <c r="B16" s="777"/>
      <c r="C16" s="777"/>
      <c r="D16" s="781"/>
    </row>
    <row r="17" spans="1:4">
      <c r="A17" s="536" t="str">
        <f>VLOOKUP("伊納瑞斯的證言：第一～七篇", Data!$B:$D,F1, FALSE)</f>
        <v>伊纳瑞斯的证词一～七</v>
      </c>
      <c r="B17" s="776" t="str">
        <f>VLOOKUP("混沌界要塞", Data!$B:$D,F1, FALSE)</f>
        <v>混沌要塞</v>
      </c>
      <c r="C17" s="776" t="str">
        <f>VLOOKUP("上古文獻", Data!$B:$D,F1, FALSE)</f>
        <v>古老的文稿</v>
      </c>
      <c r="D17" s="780" t="s">
        <v>3687</v>
      </c>
    </row>
    <row r="18" spans="1:4">
      <c r="A18" s="536" t="str">
        <f>VLOOKUP("莉莉絲的記事：第一～四篇", Data!$B:$D,F1, FALSE)</f>
        <v>莉莉丝的笔记一～四</v>
      </c>
      <c r="B18" s="777"/>
      <c r="C18" s="777"/>
      <c r="D18" s="781"/>
    </row>
    <row r="19" spans="1:4">
      <c r="A19" s="536" t="str">
        <f>VLOOKUP("迷失的戰士", Data!$B:$D,F1, FALSE)</f>
        <v>失踪的战士</v>
      </c>
      <c r="B19" s="421" t="str">
        <f>VLOOKUP("永恆戰場", Data!$B:$D,F1, FALSE)</f>
        <v>永恒战场</v>
      </c>
      <c r="C19" s="421" t="str">
        <f>VLOOKUP("迷失的戰士", Data!$B:$D,F1, FALSE)</f>
        <v>失踪的战士</v>
      </c>
      <c r="D19" s="466" t="s">
        <v>3688</v>
      </c>
    </row>
    <row r="20" spans="1:4" ht="24" customHeight="1">
      <c r="A20" s="536" t="str">
        <f>VLOOKUP("希碧的回憶", Data!$B:$D,F1, FALSE)</f>
        <v>席碧尔的回忆</v>
      </c>
      <c r="B20" s="776" t="str">
        <f>VLOOKUP("預言者巢穴第一層", Data!$B:$D,F1, FALSE)</f>
        <v>先知的巢穴一层</v>
      </c>
      <c r="C20" s="421" t="str">
        <f>VLOOKUP("希碧的回憶", Data!$B:$D,F1, FALSE)</f>
        <v>席碧尔的回忆</v>
      </c>
      <c r="D20" s="793" t="s">
        <v>3689</v>
      </c>
    </row>
    <row r="21" spans="1:4">
      <c r="A21" s="536" t="str">
        <f>VLOOKUP("瑞莎的回憶", Data!$B:$D,F1, FALSE)</f>
        <v>雷萨的回忆</v>
      </c>
      <c r="B21" s="785"/>
      <c r="C21" s="421" t="str">
        <f>VLOOKUP("瑞莎的回憶", Data!$B:$D,F1, FALSE)</f>
        <v>雷萨的回忆</v>
      </c>
      <c r="D21" s="794"/>
    </row>
    <row r="22" spans="1:4" ht="17" thickBot="1">
      <c r="A22" s="537" t="str">
        <f>VLOOKUP("梅蘭娜的回憶", Data!$B:$D,F1, FALSE)</f>
        <v>梅莱娜的回忆</v>
      </c>
      <c r="B22" s="792"/>
      <c r="C22" s="424" t="str">
        <f>VLOOKUP("瑞莎的回憶", Data!$B:$D,F1, FALSE)</f>
        <v>雷萨的回忆</v>
      </c>
      <c r="D22" s="795"/>
    </row>
    <row r="23" spans="1:4" ht="17" thickBot="1">
      <c r="A23" s="538"/>
      <c r="B23" s="425"/>
      <c r="C23" s="425"/>
      <c r="D23" s="425"/>
    </row>
    <row r="24" spans="1:4" ht="23" thickBot="1">
      <c r="A24" s="749" t="str">
        <f>VLOOKUP("田园调查", Data!$B:$D,F1, FALSE)</f>
        <v>实地考察</v>
      </c>
      <c r="B24" s="750"/>
      <c r="C24" s="750"/>
      <c r="D24" s="751"/>
    </row>
    <row r="25" spans="1:4" s="73" customFormat="1">
      <c r="A25" s="490" t="s">
        <v>2539</v>
      </c>
      <c r="B25" s="491" t="s">
        <v>2290</v>
      </c>
      <c r="C25" s="492" t="s">
        <v>2291</v>
      </c>
      <c r="D25" s="493" t="s">
        <v>2292</v>
      </c>
    </row>
    <row r="26" spans="1:4" ht="26">
      <c r="A26" s="536" t="str">
        <f>VLOOKUP("最後的先祖", Data!$B:$D,F1, FALSE)</f>
        <v>最后一位先祖</v>
      </c>
      <c r="B26" s="421" t="str">
        <f>VLOOKUP("寇佛斯入口", Data!$B:$D,F1, FALSE)</f>
        <v>往科乌斯之路</v>
      </c>
      <c r="C26" s="421" t="str">
        <f>VLOOKUP("古老的背袋", Data!$B:$D,F1, FALSE)</f>
        <v>古老的背袋</v>
      </c>
      <c r="D26" s="466" t="s">
        <v>3690</v>
      </c>
    </row>
    <row r="27" spans="1:4">
      <c r="A27" s="536" t="str">
        <f>VLOOKUP("摯魂儀", Data!$B:$D,F1, FALSE)</f>
        <v>灭魂仪</v>
      </c>
      <c r="B27" s="421" t="str">
        <f>VLOOKUP("永恆戰場", Data!$B:$D,F1, FALSE)</f>
        <v>永恒战场</v>
      </c>
      <c r="C27" s="421"/>
      <c r="D27" s="466" t="s">
        <v>3691</v>
      </c>
    </row>
    <row r="28" spans="1:4">
      <c r="A28" s="536" t="str">
        <f>VLOOKUP("瑪瑟爾的計劃", Data!$B:$D,F1, FALSE)</f>
        <v>马萨伊尔的计划</v>
      </c>
      <c r="B28" s="421" t="str">
        <f>VLOOKUP("攻城哨站", Data!$B:$D,F1, FALSE)</f>
        <v>攻城前哨站</v>
      </c>
      <c r="C28" s="421" t="str">
        <f>VLOOKUP("泰瑞爾", Data!$B:$D,F1, FALSE)</f>
        <v>泰瑞尔</v>
      </c>
      <c r="D28" s="466" t="s">
        <v>3692</v>
      </c>
    </row>
    <row r="29" spans="1:4" ht="26">
      <c r="A29" s="536" t="str">
        <f>VLOOKUP("團長的日誌", Data!$B:$D,F1, FALSE)</f>
        <v>大团长的日志</v>
      </c>
      <c r="B29" s="421" t="str">
        <f>VLOOKUP("聖堂騎士團秘密據點", Data!$B:$D,F1, FALSE)</f>
        <v>圣殿骑士团秘密据点</v>
      </c>
      <c r="C29" s="421" t="str">
        <f>VLOOKUP("團長的背袋", Data!$B:$D,F1, FALSE)</f>
        <v>大团长的小包</v>
      </c>
      <c r="D29" s="466" t="s">
        <v>3693</v>
      </c>
    </row>
    <row r="30" spans="1:4" ht="26">
      <c r="A30" s="536" t="str">
        <f>VLOOKUP("守財奴的遺囑", Data!$B:$D,F1, FALSE)</f>
        <v>守财奴的遗嘱</v>
      </c>
      <c r="B30" s="421" t="str">
        <f>VLOOKUP("衛斯馬屈城中區-守財奴的陋屋", Data!$B:$D,F1, FALSE)</f>
        <v>威斯特玛城中区-守财奴的小屋</v>
      </c>
      <c r="C30" s="421" t="str">
        <f>VLOOKUP("守財奴的背袋", Data!$B:$D,F1, FALSE)</f>
        <v>守财奴的背袋</v>
      </c>
      <c r="D30" s="466" t="s">
        <v>3694</v>
      </c>
    </row>
    <row r="31" spans="1:4">
      <c r="A31" s="536" t="str">
        <f>VLOOKUP("衛斯馬屈的靈魂", Data!$B:$D,F1, FALSE)</f>
        <v>威斯特玛之魂</v>
      </c>
      <c r="B31" s="421" t="str">
        <f>VLOOKUP("撒卡蘭姆大教堂", Data!$B:$D,F1, FALSE)</f>
        <v>萨卡兰姆大教堂</v>
      </c>
      <c r="C31" s="421" t="str">
        <f>VLOOKUP("卡薩蒂雅", Data!$B:$D,F1, FALSE)</f>
        <v>卡萨蒂亚</v>
      </c>
      <c r="D31" s="466" t="s">
        <v>3695</v>
      </c>
    </row>
    <row r="32" spans="1:4" ht="26">
      <c r="A32" s="536" t="str">
        <f>VLOOKUP("厄傑爾的陷阱", Data!$B:$D,F1, FALSE)</f>
        <v>厄兹尔的陷阱</v>
      </c>
      <c r="B32" s="421" t="str">
        <f>VLOOKUP("衛斯馬屈城中區", Data!$B:$D,F1, FALSE)</f>
        <v>威斯特玛城中区</v>
      </c>
      <c r="C32" s="421" t="str">
        <f>VLOOKUP("華麗的寶箱", Data!$B:$D,F1, FALSE)</f>
        <v>精美的宝箱</v>
      </c>
      <c r="D32" s="466" t="s">
        <v>3696</v>
      </c>
    </row>
    <row r="33" spans="1:4">
      <c r="A33" s="536" t="str">
        <f>VLOOKUP("愛德莉雅的筆記", Data!$B:$D,F1, FALSE)</f>
        <v>艾德莉亚的笔记</v>
      </c>
      <c r="B33" s="421" t="str">
        <f>VLOOKUP("寇佛斯遺跡-遺跡大廳", Data!$B:$D,F1, FALSE)</f>
        <v>科乌斯废墟-宏伟大殿</v>
      </c>
      <c r="C33" s="421" t="str">
        <f>VLOOKUP("愛德莉雅", Data!$B:$D,F1, FALSE)</f>
        <v>艾德莉亚</v>
      </c>
      <c r="D33" s="466" t="s">
        <v>3697</v>
      </c>
    </row>
    <row r="34" spans="1:4" ht="17" thickBot="1">
      <c r="A34" s="537" t="str">
        <f>VLOOKUP("智慧之道：第一～六篇", Data!$B:$D,F1, FALSE)</f>
        <v>智慧之道一～六</v>
      </c>
      <c r="B34" s="424" t="str">
        <f>VLOOKUP("混沌界要塞第二層", Data!$B:$D,F1, FALSE)</f>
        <v>混沌要塞二层</v>
      </c>
      <c r="C34" s="424" t="str">
        <f>VLOOKUP("智慧之道", Data!$B:$D,F1, FALSE)</f>
        <v>智慧之道</v>
      </c>
      <c r="D34" s="467" t="s">
        <v>3698</v>
      </c>
    </row>
    <row r="35" spans="1:4" ht="17" thickBot="1">
      <c r="A35" s="538"/>
      <c r="B35" s="425"/>
      <c r="C35" s="425"/>
      <c r="D35" s="425"/>
    </row>
    <row r="36" spans="1:4" ht="23" thickBot="1">
      <c r="A36" s="749" t="str">
        <f>VLOOKUP("衛斯馬屈史學家", Data!$B:$D,F1, FALSE)</f>
        <v>威斯特玛史学家</v>
      </c>
      <c r="B36" s="750"/>
      <c r="C36" s="750"/>
      <c r="D36" s="751"/>
    </row>
    <row r="37" spans="1:4" s="73" customFormat="1">
      <c r="A37" s="490" t="s">
        <v>2289</v>
      </c>
      <c r="B37" s="491" t="s">
        <v>2290</v>
      </c>
      <c r="C37" s="492" t="s">
        <v>2291</v>
      </c>
      <c r="D37" s="493" t="s">
        <v>2292</v>
      </c>
    </row>
    <row r="38" spans="1:4">
      <c r="A38" s="536" t="str">
        <f>VLOOKUP("衛斯馬屈的歷史：第一篇", Data!$B:$D,F1, FALSE)</f>
        <v>威斯特玛史一</v>
      </c>
      <c r="B38" s="776" t="str">
        <f>VLOOKUP("難民收容所", Data!$B:$D,F1, FALSE)</f>
        <v>幸存者避难营</v>
      </c>
      <c r="C38" s="776" t="str">
        <f>VLOOKUP("戴安卓的背袋", Data!$B:$D,F1, FALSE)</f>
        <v>迪亚德拉的小包</v>
      </c>
      <c r="D38" s="466" t="s">
        <v>3699</v>
      </c>
    </row>
    <row r="39" spans="1:4">
      <c r="A39" s="536" t="str">
        <f>VLOOKUP("衛斯馬屈的歷史：第二篇", Data!$B:$D,F1, FALSE)</f>
        <v>威斯特玛史二</v>
      </c>
      <c r="B39" s="785"/>
      <c r="C39" s="785"/>
      <c r="D39" s="466" t="s">
        <v>3700</v>
      </c>
    </row>
    <row r="40" spans="1:4">
      <c r="A40" s="536" t="str">
        <f>VLOOKUP("衛斯馬屈的歷史：第三篇", Data!$B:$D,F1, FALSE)</f>
        <v>威斯特玛史三</v>
      </c>
      <c r="B40" s="785"/>
      <c r="C40" s="785"/>
      <c r="D40" s="466" t="s">
        <v>3701</v>
      </c>
    </row>
    <row r="41" spans="1:4">
      <c r="A41" s="536" t="str">
        <f>VLOOKUP("衛斯馬屈的歷史：第四篇", Data!$B:$D,F1, FALSE)</f>
        <v>威斯特玛史四</v>
      </c>
      <c r="B41" s="785"/>
      <c r="C41" s="785"/>
      <c r="D41" s="466" t="str">
        <f>"[任务]5-3-2进入"&amp;VLOOKUP("衛斯馬屈山城區", Data!$B:$D,F1, FALSE)&amp;"后返回城镇即可点击获得，三四两篇可以一起拿"</f>
        <v>[任务]5-3-2进入威斯特玛上城区后返回城镇即可点击获得，三四两篇可以一起拿</v>
      </c>
    </row>
    <row r="42" spans="1:4">
      <c r="A42" s="536" t="str">
        <f>VLOOKUP("衛斯馬屈的歷史：第五篇", Data!$B:$D,F1, FALSE)</f>
        <v>威斯特玛史五</v>
      </c>
      <c r="B42" s="785"/>
      <c r="C42" s="785"/>
      <c r="D42" s="466" t="s">
        <v>3702</v>
      </c>
    </row>
    <row r="43" spans="1:4">
      <c r="A43" s="536" t="str">
        <f>VLOOKUP("衛斯馬屈的歷史：第六篇", Data!$B:$D,F1, FALSE)</f>
        <v>威斯特玛史六</v>
      </c>
      <c r="B43" s="785"/>
      <c r="C43" s="785"/>
      <c r="D43" s="466" t="s">
        <v>3703</v>
      </c>
    </row>
    <row r="44" spans="1:4">
      <c r="A44" s="536" t="str">
        <f>VLOOKUP("衛斯馬屈的歷史：第七篇", Data!$B:$D,F1, FALSE)</f>
        <v>威斯特玛史七</v>
      </c>
      <c r="B44" s="777"/>
      <c r="C44" s="777"/>
      <c r="D44" s="466" t="s">
        <v>3704</v>
      </c>
    </row>
    <row r="45" spans="1:4" ht="33.75" customHeight="1">
      <c r="A45" s="536" t="str">
        <f>VLOOKUP("瘟疫地道", Data!$B:$D,F1, FALSE)</f>
        <v>瘟疫地道</v>
      </c>
      <c r="B45" s="421" t="str">
        <f>VLOOKUP("衛斯馬屈城中區-瘟疫地道第一層", Data!$B:$D,F1, FALSE)
&amp;CHAR(10)&amp;VLOOKUP("衛斯馬屈山城區-骸骨地窖第一層", Data!$B:$D,F1, FALSE)</f>
        <v>威斯特玛城中区-瘟疫地道一层
威斯特玛上城区-骸骨地窖一层</v>
      </c>
      <c r="C45" s="421" t="str">
        <f>VLOOKUP("瘟疫地道", Data!$B:$D,F1, FALSE)</f>
        <v>瘟疫地道</v>
      </c>
      <c r="D45" s="466" t="s">
        <v>3705</v>
      </c>
    </row>
    <row r="46" spans="1:4">
      <c r="A46" s="536" t="str">
        <f>VLOOKUP("逃兵的日誌：第一～五篇", Data!$B:$D,F1, FALSE)</f>
        <v>逃兵的日志一～五</v>
      </c>
      <c r="B46" s="421" t="str">
        <f>VLOOKUP("溺水沼地-盧瑞石洞", Data!$B:$D,F1, FALSE)</f>
        <v>漫水古道-卢雷石洞</v>
      </c>
      <c r="C46" s="421" t="str">
        <f>VLOOKUP("逃兵的包包", Data!$B:$D,F1, FALSE)</f>
        <v>逃兵的背包</v>
      </c>
      <c r="D46" s="466" t="s">
        <v>4219</v>
      </c>
    </row>
    <row r="47" spans="1:4" ht="26">
      <c r="A47" s="536" t="str">
        <f>VLOOKUP("混沌界的歷史：第一～四篇", Data!$B:$D,F1, FALSE)</f>
        <v>混沌界史一～四</v>
      </c>
      <c r="B47" s="421" t="str">
        <f>VLOOKUP("永恆戰場", Data!$B:$D,F1, FALSE)</f>
        <v>永恒战场</v>
      </c>
      <c r="C47" s="421" t="str">
        <f>VLOOKUP("天使的卷軸", Data!$B:$D,F1, FALSE)</f>
        <v>天使卷轴</v>
      </c>
      <c r="D47" s="466" t="s">
        <v>3706</v>
      </c>
    </row>
    <row r="48" spans="1:4" ht="26">
      <c r="A48" s="536" t="str">
        <f>VLOOKUP("發現聖休亞瑞：第一～三篇", Data!$B:$D,F1, FALSE)</f>
        <v>发现庇护之地一～三</v>
      </c>
      <c r="B48" s="421" t="str">
        <f>VLOOKUP("永恆戰場", Data!$B:$D,F1, FALSE)</f>
        <v>永恒战场</v>
      </c>
      <c r="C48" s="421" t="str">
        <f>VLOOKUP("古老的屍體", Data!$B:$D,F1, FALSE)</f>
        <v>古尸</v>
      </c>
      <c r="D48" s="466" t="s">
        <v>3707</v>
      </c>
    </row>
    <row r="49" spans="1:4" ht="17" thickBot="1">
      <c r="A49" s="537" t="str">
        <f>VLOOKUP("涅法雷姆的秘境", Data!$B:$D,F1, FALSE)</f>
        <v>奈非天秘境</v>
      </c>
      <c r="B49" s="424" t="str">
        <f>VLOOKUP("涅法雷姆的秘境", Data!$B:$D,F1, FALSE)</f>
        <v>奈非天秘境</v>
      </c>
      <c r="C49" s="424"/>
      <c r="D49" s="467" t="s">
        <v>3708</v>
      </c>
    </row>
    <row r="50" spans="1:4" ht="17" thickBot="1"/>
    <row r="51" spans="1:4" ht="14.25" customHeight="1" thickBot="1">
      <c r="A51" s="786" t="s">
        <v>538</v>
      </c>
      <c r="B51" s="787"/>
      <c r="C51" s="787"/>
      <c r="D51" s="788"/>
    </row>
    <row r="52" spans="1:4" ht="14.25" customHeight="1">
      <c r="A52" s="789" t="s">
        <v>539</v>
      </c>
      <c r="B52" s="790"/>
      <c r="C52" s="790"/>
      <c r="D52" s="791"/>
    </row>
    <row r="53" spans="1:4" ht="14.25" customHeight="1">
      <c r="A53" s="789" t="s">
        <v>540</v>
      </c>
      <c r="B53" s="790"/>
      <c r="C53" s="790"/>
      <c r="D53" s="791"/>
    </row>
    <row r="54" spans="1:4" ht="14.25" customHeight="1">
      <c r="A54" s="789" t="s">
        <v>541</v>
      </c>
      <c r="B54" s="790"/>
      <c r="C54" s="790"/>
      <c r="D54" s="791"/>
    </row>
    <row r="55" spans="1:4" ht="14.25" customHeight="1">
      <c r="A55" s="789" t="s">
        <v>542</v>
      </c>
      <c r="B55" s="790"/>
      <c r="C55" s="790"/>
      <c r="D55" s="791"/>
    </row>
    <row r="56" spans="1:4" ht="14.25" customHeight="1">
      <c r="A56" s="789" t="s">
        <v>543</v>
      </c>
      <c r="B56" s="790"/>
      <c r="C56" s="790"/>
      <c r="D56" s="791"/>
    </row>
    <row r="57" spans="1:4" ht="14.25" customHeight="1">
      <c r="A57" s="789" t="s">
        <v>3709</v>
      </c>
      <c r="B57" s="790"/>
      <c r="C57" s="790"/>
      <c r="D57" s="791"/>
    </row>
    <row r="58" spans="1:4" ht="14.25" customHeight="1" thickBot="1">
      <c r="A58" s="782" t="s">
        <v>3710</v>
      </c>
      <c r="B58" s="783"/>
      <c r="C58" s="783"/>
      <c r="D58" s="784"/>
    </row>
  </sheetData>
  <mergeCells count="30">
    <mergeCell ref="A24:D24"/>
    <mergeCell ref="A36:D36"/>
    <mergeCell ref="D13:D14"/>
    <mergeCell ref="A8:A9"/>
    <mergeCell ref="B8:B9"/>
    <mergeCell ref="C8:C9"/>
    <mergeCell ref="D8:D9"/>
    <mergeCell ref="A58:D58"/>
    <mergeCell ref="B38:B44"/>
    <mergeCell ref="C38:C44"/>
    <mergeCell ref="B15:B16"/>
    <mergeCell ref="A51:D51"/>
    <mergeCell ref="A52:D52"/>
    <mergeCell ref="A53:D53"/>
    <mergeCell ref="A54:D54"/>
    <mergeCell ref="A55:D55"/>
    <mergeCell ref="A56:D56"/>
    <mergeCell ref="B17:B18"/>
    <mergeCell ref="C17:C18"/>
    <mergeCell ref="D17:D18"/>
    <mergeCell ref="A57:D57"/>
    <mergeCell ref="B20:B22"/>
    <mergeCell ref="D20:D22"/>
    <mergeCell ref="A2:D2"/>
    <mergeCell ref="A13:A14"/>
    <mergeCell ref="B13:B14"/>
    <mergeCell ref="C13:C14"/>
    <mergeCell ref="A15:A16"/>
    <mergeCell ref="C15:C16"/>
    <mergeCell ref="D15:D16"/>
  </mergeCells>
  <phoneticPr fontId="7" type="noConversion"/>
  <dataValidations disablePrompts="1" count="1">
    <dataValidation type="list" allowBlank="1" showInputMessage="1" showErrorMessage="1" sqref="E1" xr:uid="{00000000-0002-0000-0B00-000000000000}">
      <formula1>"繁體中文,简体中文"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2"/>
  <sheetViews>
    <sheetView workbookViewId="0">
      <pane ySplit="1" topLeftCell="A2" activePane="bottomLeft" state="frozen"/>
      <selection pane="bottomLeft" activeCell="A8" sqref="A8:D8"/>
    </sheetView>
  </sheetViews>
  <sheetFormatPr defaultColWidth="9" defaultRowHeight="19.5" customHeight="1"/>
  <cols>
    <col min="1" max="1" width="20.58203125" style="73" customWidth="1"/>
    <col min="2" max="2" width="2.4140625" style="75" customWidth="1"/>
    <col min="3" max="3" width="24.5" style="75" customWidth="1"/>
    <col min="4" max="4" width="86.6640625" style="75" customWidth="1"/>
    <col min="5" max="16384" width="9" style="75"/>
  </cols>
  <sheetData>
    <row r="1" spans="1:6" ht="19.5" customHeight="1" thickBot="1">
      <c r="A1" s="73" t="s">
        <v>2023</v>
      </c>
      <c r="B1" s="73"/>
      <c r="C1" s="74" t="s">
        <v>2675</v>
      </c>
      <c r="D1" s="76" t="s">
        <v>2021</v>
      </c>
      <c r="E1" s="573" t="s">
        <v>3676</v>
      </c>
      <c r="F1" s="319">
        <f>VLOOKUP(E1,Data!$A:$B,2, FALSE)</f>
        <v>2</v>
      </c>
    </row>
    <row r="2" spans="1:6" s="79" customFormat="1" ht="19.5" customHeight="1" thickBot="1">
      <c r="A2" s="749" t="s">
        <v>2676</v>
      </c>
      <c r="B2" s="750"/>
      <c r="C2" s="750"/>
      <c r="D2" s="751"/>
    </row>
    <row r="3" spans="1:6" s="473" customFormat="1" ht="19.5" customHeight="1">
      <c r="A3" s="472" t="s">
        <v>2677</v>
      </c>
      <c r="B3" s="800" t="s">
        <v>2747</v>
      </c>
      <c r="C3" s="801"/>
      <c r="D3" s="494" t="s">
        <v>2678</v>
      </c>
    </row>
    <row r="4" spans="1:6" s="79" customFormat="1" ht="17.25" customHeight="1">
      <c r="A4" s="539" t="str">
        <f>VLOOKUP("飛蝠農場", Data!$B:$D,F1, FALSE)</f>
        <v>清理食腐鸟</v>
      </c>
      <c r="B4" s="427" t="s">
        <v>1648</v>
      </c>
      <c r="C4" s="428" t="str">
        <f>VLOOKUP("悲慘之原-荒廢農地", Data!$B:$D,F1, FALSE)</f>
        <v>苦难旷野-荒废农地</v>
      </c>
      <c r="D4" s="429" t="s">
        <v>3711</v>
      </c>
    </row>
    <row r="5" spans="1:6" s="79" customFormat="1" ht="17.25" customHeight="1">
      <c r="A5" s="539" t="str">
        <f>VLOOKUP("先祖的最後一戰", Data!$B:$D,F1, FALSE)</f>
        <v>先祖英雄之背水一战</v>
      </c>
      <c r="B5" s="427" t="s">
        <v>1648</v>
      </c>
      <c r="C5" s="428" t="str">
        <f>VLOOKUP("腐潰之林", Data!$B:$D,F1, FALSE)</f>
        <v>烂木林</v>
      </c>
      <c r="D5" s="429" t="s">
        <v>3712</v>
      </c>
    </row>
    <row r="6" spans="1:6" s="79" customFormat="1" ht="17.25" customHeight="1">
      <c r="A6" s="539" t="str">
        <f>VLOOKUP("領主夫人的遺骨", Data!$B:$D,F1, FALSE)</f>
        <v>领主夫人的尸骨</v>
      </c>
      <c r="B6" s="427" t="s">
        <v>1648</v>
      </c>
      <c r="C6" s="428" t="str">
        <f>VLOOKUP("荒棄墓園-被褻瀆的墓穴", Data!$B:$D,F1, FALSE)</f>
        <v>荒废的墓地-污秽的墓穴</v>
      </c>
      <c r="D6" s="429" t="s">
        <v>3713</v>
      </c>
    </row>
    <row r="7" spans="1:6" s="79" customFormat="1" ht="17.25" customHeight="1">
      <c r="A7" s="539" t="str">
        <f>VLOOKUP("魂甕", Data!$B:$D,F1, FALSE)</f>
        <v>众魂罐</v>
      </c>
      <c r="B7" s="427" t="s">
        <v>1648</v>
      </c>
      <c r="C7" s="428" t="str">
        <f>VLOOKUP("荒棄墓園-被褻瀆的墓穴", Data!$B:$D,F1, FALSE)</f>
        <v>荒废的墓地-污秽的墓穴</v>
      </c>
      <c r="D7" s="429" t="s">
        <v>3713</v>
      </c>
    </row>
    <row r="8" spans="1:6" s="79" customFormat="1" ht="17.25" customHeight="1">
      <c r="A8" s="539" t="str">
        <f>VLOOKUP("永恆之戰", Data!$B:$D,F1, FALSE)</f>
        <v>永恒之战</v>
      </c>
      <c r="B8" s="427" t="s">
        <v>1648</v>
      </c>
      <c r="C8" s="428" t="str">
        <f>VLOOKUP("腐潰之林", Data!$B:$D,F1, FALSE)</f>
        <v>烂木林</v>
      </c>
      <c r="D8" s="429" t="s">
        <v>3714</v>
      </c>
    </row>
    <row r="9" spans="1:6" s="79" customFormat="1" ht="17.25" customHeight="1" thickBot="1">
      <c r="A9" s="540" t="str">
        <f>VLOOKUP("賈巴德的復仇", Data!$B:$D,F1, FALSE)</f>
        <v>贾巴德的复仇</v>
      </c>
      <c r="B9" s="430" t="s">
        <v>1648</v>
      </c>
      <c r="C9" s="431" t="str">
        <f>VLOOKUP("南部高地", Data!$B:$D,F1, FALSE)</f>
        <v>南方高地</v>
      </c>
      <c r="D9" s="432" t="s">
        <v>3715</v>
      </c>
    </row>
    <row r="10" spans="1:6" s="79" customFormat="1" ht="19.5" customHeight="1" thickTop="1" thickBot="1">
      <c r="A10" s="473"/>
    </row>
    <row r="11" spans="1:6" s="79" customFormat="1" ht="19.5" customHeight="1" thickBot="1">
      <c r="A11" s="749" t="s">
        <v>2684</v>
      </c>
      <c r="B11" s="750"/>
      <c r="C11" s="750"/>
      <c r="D11" s="751"/>
    </row>
    <row r="12" spans="1:6" s="473" customFormat="1" ht="19.5" customHeight="1">
      <c r="A12" s="472" t="s">
        <v>2677</v>
      </c>
      <c r="B12" s="800" t="s">
        <v>2747</v>
      </c>
      <c r="C12" s="801"/>
      <c r="D12" s="494" t="s">
        <v>2678</v>
      </c>
    </row>
    <row r="13" spans="1:6" s="79" customFormat="1" ht="16.5" customHeight="1">
      <c r="A13" s="541" t="str">
        <f>VLOOKUP("動盪的沙塵", Data!$B:$D,F1, FALSE)</f>
        <v>躁怒沙漠</v>
      </c>
      <c r="B13" s="433" t="s">
        <v>1648</v>
      </c>
      <c r="C13" s="434" t="str">
        <f>VLOOKUP("刺風沙漠", Data!$B:$D,F1, FALSE)</f>
        <v>烈风之地</v>
      </c>
      <c r="D13" s="435" t="s">
        <v>3716</v>
      </c>
    </row>
    <row r="14" spans="1:6" s="79" customFormat="1" ht="16.5" customHeight="1">
      <c r="A14" s="541" t="str">
        <f>VLOOKUP("守護者之魂", Data!$B:$D,F1, FALSE)</f>
        <v>守护者之魂</v>
      </c>
      <c r="B14" s="433" t="s">
        <v>1648</v>
      </c>
      <c r="C14" s="434" t="str">
        <f>VLOOKUP("刺風沙漠", Data!$B:$D,F1, FALSE)</f>
        <v>烈风之地</v>
      </c>
      <c r="D14" s="435" t="s">
        <v>3717</v>
      </c>
    </row>
    <row r="15" spans="1:6" s="79" customFormat="1" ht="16.5" customHeight="1">
      <c r="A15" s="541" t="str">
        <f>VLOOKUP("拉卡尼休聖壇", Data!$B:$D,F1, FALSE)</f>
        <v>拉卡尼休的圣坛</v>
      </c>
      <c r="B15" s="433" t="s">
        <v>1648</v>
      </c>
      <c r="C15" s="434" t="str">
        <f>VLOOKUP("達厄古綠洲", Data!$B:$D,F1, FALSE)</f>
        <v>达尔格绿洲</v>
      </c>
      <c r="D15" s="435" t="s">
        <v>3717</v>
      </c>
    </row>
    <row r="16" spans="1:6" s="79" customFormat="1" ht="32.25" customHeight="1">
      <c r="A16" s="541" t="str">
        <f>VLOOKUP("礦工的金幣", Data!$B:$D,F1, FALSE)</f>
        <v>矿工的黄金</v>
      </c>
      <c r="B16" s="433" t="s">
        <v>1648</v>
      </c>
      <c r="C16" s="434" t="str">
        <f>VLOOKUP("嚎泣高原", Data!$B:$D,F1, FALSE)</f>
        <v>凄风苔原</v>
      </c>
      <c r="D16" s="435" t="s">
        <v>3718</v>
      </c>
    </row>
    <row r="17" spans="1:4" s="79" customFormat="1" ht="16.5" customHeight="1">
      <c r="A17" s="541" t="str">
        <f>VLOOKUP("拉庫尼的巢穴", Data!$B:$D,F1, FALSE)</f>
        <v>豹人巢穴</v>
      </c>
      <c r="B17" s="433" t="s">
        <v>1648</v>
      </c>
      <c r="C17" s="434" t="str">
        <f>VLOOKUP("嚎泣高原-廢棄的礦道", Data!$B:$D,F1, FALSE)</f>
        <v>凄风苔原-废弃的矿场</v>
      </c>
      <c r="D17" s="435" t="s">
        <v>3717</v>
      </c>
    </row>
    <row r="18" spans="1:4" s="79" customFormat="1" ht="16.5" customHeight="1">
      <c r="A18" s="541" t="str">
        <f>VLOOKUP("里格納爾塑像", Data!$B:$D,F1, FALSE)</f>
        <v>雷格纳人偶</v>
      </c>
      <c r="B18" s="433" t="s">
        <v>1648</v>
      </c>
      <c r="C18" s="434" t="str">
        <f>VLOOKUP("刺風沙漠-失落塑像之室", Data!$B:$D,F1, FALSE)</f>
        <v>烈风之地-失落人偶的密厅</v>
      </c>
      <c r="D18" s="435" t="s">
        <v>3719</v>
      </c>
    </row>
    <row r="19" spans="1:4" s="79" customFormat="1" ht="16.5" customHeight="1">
      <c r="A19" s="541" t="str">
        <f>VLOOKUP("崩塌的寶庫", Data!$B:$D,F1, FALSE)</f>
        <v>崩裂密室</v>
      </c>
      <c r="B19" s="433" t="s">
        <v>6526</v>
      </c>
      <c r="C19" s="434" t="str">
        <f>VLOOKUP("刺風沙漠-崩塌的寶庫", Data!$B:$D,F1, FALSE)</f>
        <v>烈风之地-崩裂密室</v>
      </c>
      <c r="D19" s="435" t="s">
        <v>5256</v>
      </c>
    </row>
    <row r="20" spans="1:4" s="79" customFormat="1" ht="16.5" customHeight="1">
      <c r="A20" s="541" t="str">
        <f>VLOOKUP("卡米爾的囚犯", Data!$B:$D,F1, FALSE)</f>
        <v>卡麦尔的囚犯</v>
      </c>
      <c r="B20" s="433" t="s">
        <v>1648</v>
      </c>
      <c r="C20" s="434" t="str">
        <f>VLOOKUP("達厄古綠洲", Data!$B:$D,F1, FALSE)</f>
        <v>达尔格绿洲</v>
      </c>
      <c r="D20" s="435" t="s">
        <v>3720</v>
      </c>
    </row>
    <row r="21" spans="1:4" s="79" customFormat="1" ht="16.5" customHeight="1">
      <c r="A21" s="541" t="str">
        <f>VLOOKUP("悲運之輪", Data!$B:$D,F1, FALSE)</f>
        <v>灾难之轮</v>
      </c>
      <c r="B21" s="433" t="s">
        <v>1648</v>
      </c>
      <c r="C21" s="434" t="str">
        <f>VLOOKUP("淒涼沙地", Data!$B:$D,F1, FALSE)</f>
        <v>凄凉沙漠</v>
      </c>
      <c r="D21" s="435" t="s">
        <v>3721</v>
      </c>
    </row>
    <row r="22" spans="1:4" s="79" customFormat="1" ht="16.5" customHeight="1" thickBot="1">
      <c r="A22" s="542" t="str">
        <f>VLOOKUP("達卡布可汗失落的寶藏", Data!$B:$D,F1, FALSE)</f>
        <v>失落的坎·达卡布财宝</v>
      </c>
      <c r="B22" s="436" t="s">
        <v>1648</v>
      </c>
      <c r="C22" s="437" t="str">
        <f>VLOOKUP("達厄古綠洲-達卡布可汗的陵墓", Data!$B:$D,F1, FALSE)</f>
        <v>达尔格绿洲-坎·达卡布的陵墓</v>
      </c>
      <c r="D22" s="438" t="s">
        <v>3722</v>
      </c>
    </row>
    <row r="23" spans="1:4" s="79" customFormat="1" ht="19.5" customHeight="1" thickTop="1" thickBot="1">
      <c r="A23" s="473"/>
    </row>
    <row r="24" spans="1:4" s="79" customFormat="1" ht="19.5" customHeight="1" thickBot="1">
      <c r="A24" s="749" t="s">
        <v>2694</v>
      </c>
      <c r="B24" s="750"/>
      <c r="C24" s="750"/>
      <c r="D24" s="751"/>
    </row>
    <row r="25" spans="1:4" s="473" customFormat="1" ht="19.5" customHeight="1">
      <c r="A25" s="472" t="s">
        <v>2677</v>
      </c>
      <c r="B25" s="800" t="s">
        <v>2747</v>
      </c>
      <c r="C25" s="801"/>
      <c r="D25" s="494" t="s">
        <v>2678</v>
      </c>
    </row>
    <row r="26" spans="1:4" s="79" customFormat="1" ht="16.5" customHeight="1">
      <c r="A26" s="543" t="str">
        <f>VLOOKUP("血之羈絆", Data!$B:$D,F1, FALSE)</f>
        <v>血脉相连</v>
      </c>
      <c r="B26" s="439" t="s">
        <v>1648</v>
      </c>
      <c r="C26" s="440" t="str">
        <f>VLOOKUP("亞瑞特之門-兵營第二層", Data!$B:$D,F1, FALSE)</f>
        <v>亚瑞特大门-营房二层</v>
      </c>
      <c r="D26" s="441" t="s">
        <v>3723</v>
      </c>
    </row>
    <row r="27" spans="1:4" s="79" customFormat="1" ht="16.5" customHeight="1">
      <c r="A27" s="543" t="str">
        <f>VLOOKUP("戰場之煉", Data!$B:$D,F1, FALSE)</f>
        <v>战火铸就</v>
      </c>
      <c r="B27" s="439" t="s">
        <v>1648</v>
      </c>
      <c r="C27" s="440" t="str">
        <f>VLOOKUP("要塞下層第一層", Data!$B:$D,F1, FALSE)</f>
        <v>要塞深渊一层</v>
      </c>
      <c r="D27" s="441" t="s">
        <v>3724</v>
      </c>
    </row>
    <row r="28" spans="1:4" s="79" customFormat="1" ht="16.5" customHeight="1">
      <c r="A28" s="543" t="s">
        <v>3725</v>
      </c>
      <c r="B28" s="439"/>
      <c r="C28" s="440" t="str">
        <f>VLOOKUP("石壘", Data!$B:$D,F1, FALSE)</f>
        <v>坚石壁垒</v>
      </c>
      <c r="D28" s="441" t="s">
        <v>6717</v>
      </c>
    </row>
    <row r="29" spans="1:4" s="79" customFormat="1" ht="16.5" customHeight="1">
      <c r="A29" s="543" t="str">
        <f>VLOOKUP("防守醫療站", Data!$B:$D,F1, FALSE)</f>
        <v>防守医疗站</v>
      </c>
      <c r="B29" s="439" t="s">
        <v>1648</v>
      </c>
      <c r="C29" s="440" t="str">
        <f>VLOOKUP("戰場", Data!$B:$D,F1, FALSE)</f>
        <v>战场</v>
      </c>
      <c r="D29" s="441" t="s">
        <v>3726</v>
      </c>
    </row>
    <row r="30" spans="1:4" s="79" customFormat="1" ht="16.5" customHeight="1">
      <c r="A30" s="543" t="str">
        <f>VLOOKUP("戰爭浪潮", Data!$B:$D,F1, FALSE)</f>
        <v>力挽狂澜</v>
      </c>
      <c r="B30" s="439" t="s">
        <v>1648</v>
      </c>
      <c r="C30" s="440" t="str">
        <f>VLOOKUP("戰場", Data!$B:$D,F1, FALSE)</f>
        <v>战场</v>
      </c>
      <c r="D30" s="441" t="s">
        <v>3717</v>
      </c>
    </row>
    <row r="31" spans="1:4" s="79" customFormat="1" ht="16.5" customHeight="1">
      <c r="A31" s="543" t="str">
        <f>VLOOKUP("烈火榮耀", Data!$B:$D,F1, FALSE)</f>
        <v>荣耀之焰</v>
      </c>
      <c r="B31" s="439" t="s">
        <v>1648</v>
      </c>
      <c r="C31" s="440" t="str">
        <f>VLOOKUP("拉基斯路口", Data!$B:$D,F1, FALSE)</f>
        <v>拉基斯之渡</v>
      </c>
      <c r="D31" s="441" t="s">
        <v>3727</v>
      </c>
    </row>
    <row r="32" spans="1:4" s="79" customFormat="1" ht="16.5" customHeight="1" thickBot="1">
      <c r="A32" s="544" t="str">
        <f>VLOOKUP("瘋狂攀爬者", Data!$B:$D,F1, FALSE)</f>
        <v>疯狂的攀爬者</v>
      </c>
      <c r="B32" s="442" t="s">
        <v>6526</v>
      </c>
      <c r="C32" s="664" t="str">
        <f>VLOOKUP("拉基斯路口", Data!$B:$D,F1, FALSE)</f>
        <v>拉基斯之渡</v>
      </c>
      <c r="D32" s="443" t="s">
        <v>2702</v>
      </c>
    </row>
    <row r="33" spans="1:5" ht="19.5" customHeight="1" thickTop="1" thickBot="1"/>
    <row r="34" spans="1:5" ht="19.5" customHeight="1" thickBot="1">
      <c r="A34" s="786" t="s">
        <v>538</v>
      </c>
      <c r="B34" s="787"/>
      <c r="C34" s="787"/>
      <c r="D34" s="787"/>
      <c r="E34" s="788"/>
    </row>
    <row r="35" spans="1:5" ht="19.5" customHeight="1">
      <c r="A35" s="796" t="s">
        <v>3728</v>
      </c>
      <c r="B35" s="797"/>
      <c r="C35" s="798"/>
      <c r="D35" s="798"/>
      <c r="E35" s="799"/>
    </row>
    <row r="36" spans="1:5" ht="19.5" customHeight="1">
      <c r="A36" s="789" t="s">
        <v>539</v>
      </c>
      <c r="B36" s="790"/>
      <c r="C36" s="790"/>
      <c r="D36" s="790"/>
      <c r="E36" s="791"/>
    </row>
    <row r="37" spans="1:5" ht="19.5" customHeight="1">
      <c r="A37" s="789" t="s">
        <v>540</v>
      </c>
      <c r="B37" s="790"/>
      <c r="C37" s="790"/>
      <c r="D37" s="790"/>
      <c r="E37" s="791"/>
    </row>
    <row r="38" spans="1:5" ht="19.5" customHeight="1">
      <c r="A38" s="789" t="s">
        <v>541</v>
      </c>
      <c r="B38" s="790"/>
      <c r="C38" s="790"/>
      <c r="D38" s="790"/>
      <c r="E38" s="791"/>
    </row>
    <row r="39" spans="1:5" ht="19.5" customHeight="1">
      <c r="A39" s="789" t="s">
        <v>542</v>
      </c>
      <c r="B39" s="790"/>
      <c r="C39" s="790"/>
      <c r="D39" s="790"/>
      <c r="E39" s="791"/>
    </row>
    <row r="40" spans="1:5" ht="19.5" customHeight="1">
      <c r="A40" s="789" t="s">
        <v>543</v>
      </c>
      <c r="B40" s="790"/>
      <c r="C40" s="790"/>
      <c r="D40" s="790"/>
      <c r="E40" s="791"/>
    </row>
    <row r="41" spans="1:5" ht="19.5" customHeight="1">
      <c r="A41" s="789" t="s">
        <v>3729</v>
      </c>
      <c r="B41" s="790"/>
      <c r="C41" s="790"/>
      <c r="D41" s="790"/>
      <c r="E41" s="791"/>
    </row>
    <row r="42" spans="1:5" ht="19.5" customHeight="1" thickBot="1">
      <c r="A42" s="782" t="s">
        <v>3730</v>
      </c>
      <c r="B42" s="783"/>
      <c r="C42" s="783"/>
      <c r="D42" s="783"/>
      <c r="E42" s="784"/>
    </row>
  </sheetData>
  <mergeCells count="15">
    <mergeCell ref="A42:E42"/>
    <mergeCell ref="A2:D2"/>
    <mergeCell ref="A11:D11"/>
    <mergeCell ref="A24:D24"/>
    <mergeCell ref="A34:E34"/>
    <mergeCell ref="A35:E35"/>
    <mergeCell ref="A36:E36"/>
    <mergeCell ref="A37:E37"/>
    <mergeCell ref="A38:E38"/>
    <mergeCell ref="A39:E39"/>
    <mergeCell ref="A40:E40"/>
    <mergeCell ref="A41:E41"/>
    <mergeCell ref="B3:C3"/>
    <mergeCell ref="B12:C12"/>
    <mergeCell ref="B25:C25"/>
  </mergeCells>
  <phoneticPr fontId="7" type="noConversion"/>
  <dataValidations count="1">
    <dataValidation type="list" allowBlank="1" showInputMessage="1" showErrorMessage="1" sqref="E1" xr:uid="{00000000-0002-0000-0C00-000000000000}">
      <formula1>"繁體中文,简体中文"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5"/>
  <sheetViews>
    <sheetView workbookViewId="0">
      <pane ySplit="1" topLeftCell="A2" activePane="bottomLeft" state="frozen"/>
      <selection pane="bottomLeft" activeCell="A64" sqref="A64"/>
    </sheetView>
  </sheetViews>
  <sheetFormatPr defaultColWidth="9" defaultRowHeight="16.5"/>
  <cols>
    <col min="1" max="1" width="20.58203125" style="498" customWidth="1"/>
    <col min="2" max="2" width="15.1640625" style="444" customWidth="1"/>
    <col min="3" max="3" width="2.4140625" style="449" customWidth="1"/>
    <col min="4" max="4" width="31.83203125" style="444" customWidth="1"/>
    <col min="5" max="5" width="70.58203125" style="444" customWidth="1"/>
    <col min="6" max="6" width="9" style="444" customWidth="1"/>
    <col min="7" max="16384" width="9" style="444"/>
  </cols>
  <sheetData>
    <row r="1" spans="1:7" s="75" customFormat="1" ht="17" thickBot="1">
      <c r="A1" s="73" t="s">
        <v>2023</v>
      </c>
      <c r="B1" s="74" t="s">
        <v>2407</v>
      </c>
      <c r="C1" s="203"/>
      <c r="E1" s="76" t="s">
        <v>2021</v>
      </c>
      <c r="F1" s="573" t="s">
        <v>6908</v>
      </c>
      <c r="G1" s="319">
        <f>VLOOKUP(F1,Data!$A:$B,2, FALSE)</f>
        <v>1</v>
      </c>
    </row>
    <row r="2" spans="1:7" ht="21" customHeight="1" thickBot="1">
      <c r="A2" s="749" t="str">
        <f>VLOOKUP("衛斯馬屈景點一覽", Data!$B:$D,G1, FALSE)</f>
        <v>衛斯馬屈景點一覽</v>
      </c>
      <c r="B2" s="750"/>
      <c r="C2" s="750"/>
      <c r="D2" s="750"/>
      <c r="E2" s="751"/>
    </row>
    <row r="3" spans="1:7" s="498" customFormat="1">
      <c r="A3" s="495" t="s">
        <v>2541</v>
      </c>
      <c r="B3" s="496" t="s">
        <v>2750</v>
      </c>
      <c r="C3" s="803" t="s">
        <v>2748</v>
      </c>
      <c r="D3" s="804"/>
      <c r="E3" s="497" t="s">
        <v>2542</v>
      </c>
    </row>
    <row r="4" spans="1:7">
      <c r="A4" s="536" t="str">
        <f>VLOOKUP("憤怒的亡靈", Data!$B:$D,G1, FALSE)</f>
        <v>憤怒的亡靈</v>
      </c>
      <c r="B4" s="802" t="str">
        <f>VLOOKUP("衛斯馬屈城中區", Data!$B:$D,G1, FALSE)</f>
        <v>衛斯馬屈城中區</v>
      </c>
      <c r="C4" s="445" t="s">
        <v>1649</v>
      </c>
      <c r="D4" s="421"/>
      <c r="E4" s="422"/>
    </row>
    <row r="5" spans="1:7">
      <c r="A5" s="536" t="str">
        <f>VLOOKUP("托利佛的最後一戰", Data!$B:$D,G1, FALSE)</f>
        <v>托利佛的最後一戰</v>
      </c>
      <c r="B5" s="802"/>
      <c r="C5" s="445" t="s">
        <v>1649</v>
      </c>
      <c r="D5" s="421"/>
      <c r="E5" s="422" t="s">
        <v>4251</v>
      </c>
    </row>
    <row r="6" spans="1:7">
      <c r="A6" s="536" t="str">
        <f>VLOOKUP("死亡之觸", Data!$B:$D,G1, FALSE)</f>
        <v>死亡之觸</v>
      </c>
      <c r="B6" s="802"/>
      <c r="C6" s="445" t="s">
        <v>4250</v>
      </c>
      <c r="D6" s="421"/>
      <c r="E6" s="422" t="s">
        <v>3731</v>
      </c>
    </row>
    <row r="7" spans="1:7" ht="29">
      <c r="A7" s="536" t="str">
        <f>VLOOKUP("園中漫步", Data!$B:$D,G1, FALSE)</f>
        <v>園中漫步</v>
      </c>
      <c r="B7" s="802"/>
      <c r="C7" s="445" t="s">
        <v>1648</v>
      </c>
      <c r="D7" s="421"/>
      <c r="E7" s="422" t="s">
        <v>3743</v>
      </c>
    </row>
    <row r="8" spans="1:7">
      <c r="A8" s="536" t="str">
        <f>VLOOKUP("奪魂", Data!$B:$D,G1, FALSE)</f>
        <v>奪魂</v>
      </c>
      <c r="B8" s="802"/>
      <c r="C8" s="445" t="s">
        <v>1648</v>
      </c>
      <c r="D8" s="421"/>
      <c r="E8" s="422" t="s">
        <v>3731</v>
      </c>
    </row>
    <row r="9" spans="1:7">
      <c r="A9" s="536" t="str">
        <f>VLOOKUP("死於恥辱", Data!$B:$D,G1, FALSE)</f>
        <v>死於恥辱</v>
      </c>
      <c r="B9" s="802"/>
      <c r="C9" s="445" t="s">
        <v>1648</v>
      </c>
      <c r="D9" s="421" t="str">
        <f>VLOOKUP("殺戮樓層", Data!$B:$D,G1, FALSE)</f>
        <v>殺戮樓層</v>
      </c>
      <c r="E9" s="422" t="s">
        <v>3731</v>
      </c>
    </row>
    <row r="10" spans="1:7">
      <c r="A10" s="536" t="str">
        <f>VLOOKUP("擅闖民宅", Data!$B:$D,G1, FALSE)</f>
        <v>擅闖民宅</v>
      </c>
      <c r="B10" s="802"/>
      <c r="C10" s="445" t="s">
        <v>1648</v>
      </c>
      <c r="D10" s="421" t="str">
        <f>VLOOKUP("被洗劫的住家", Data!$B:$D,G1, FALSE)</f>
        <v>被洗劫的住家</v>
      </c>
      <c r="E10" s="422" t="s">
        <v>3731</v>
      </c>
    </row>
    <row r="11" spans="1:7">
      <c r="A11" s="536" t="str">
        <f>VLOOKUP("死靈法師的選擇", Data!$B:$D,G1, FALSE)</f>
        <v>死靈法師的選擇</v>
      </c>
      <c r="B11" s="802"/>
      <c r="C11" s="445" t="s">
        <v>1648</v>
      </c>
      <c r="D11" s="421" t="str">
        <f>VLOOKUP("黑暗法術迴廊", Data!$B:$D,G1, FALSE)</f>
        <v>黑暗法術迴廊</v>
      </c>
      <c r="E11" s="422" t="s">
        <v>3731</v>
      </c>
    </row>
    <row r="12" spans="1:7">
      <c r="A12" s="536" t="str">
        <f>VLOOKUP("重生的教徒", Data!$B:$D,G1, FALSE)</f>
        <v>重生的教徒</v>
      </c>
      <c r="B12" s="802"/>
      <c r="C12" s="445" t="s">
        <v>1648</v>
      </c>
      <c r="D12" s="421" t="str">
        <f>VLOOKUP("廢棄的教徒儲藏室", Data!$B:$D,G1, FALSE)</f>
        <v>廢棄的教徒儲藏室</v>
      </c>
      <c r="E12" s="422" t="s">
        <v>3731</v>
      </c>
    </row>
    <row r="13" spans="1:7">
      <c r="A13" s="536" t="str">
        <f>VLOOKUP("守財奴的遺囑", Data!$B:$D,G1, FALSE)</f>
        <v>守財奴的遺囑</v>
      </c>
      <c r="B13" s="802"/>
      <c r="C13" s="445" t="s">
        <v>1648</v>
      </c>
      <c r="D13" s="421" t="str">
        <f>VLOOKUP("守財奴的陋屋", Data!$B:$D,G1, FALSE)</f>
        <v>守財奴的陋屋</v>
      </c>
      <c r="E13" s="422" t="s">
        <v>3732</v>
      </c>
    </row>
    <row r="14" spans="1:7">
      <c r="A14" s="536" t="str">
        <f>VLOOKUP("背水一戰", Data!$B:$D,G1, FALSE)</f>
        <v>背水一戰</v>
      </c>
      <c r="B14" s="802"/>
      <c r="C14" s="445" t="s">
        <v>1648</v>
      </c>
      <c r="D14" s="421" t="str">
        <f>VLOOKUP("走私者的舊倉庫", Data!$B:$D,G1, FALSE)</f>
        <v>走私者的舊倉庫</v>
      </c>
      <c r="E14" s="422" t="s">
        <v>3731</v>
      </c>
    </row>
    <row r="15" spans="1:7">
      <c r="A15" s="536" t="str">
        <f>VLOOKUP("拯救巡邏兵", Data!$B:$D,G1, FALSE)</f>
        <v>拯救巡邏兵</v>
      </c>
      <c r="B15" s="802"/>
      <c r="C15" s="445" t="s">
        <v>1648</v>
      </c>
      <c r="D15" s="421" t="str">
        <f>VLOOKUP("塔斯汀釀酒坊", Data!$B:$D,G1, FALSE)</f>
        <v>塔斯汀釀酒坊</v>
      </c>
      <c r="E15" s="422" t="s">
        <v>3731</v>
      </c>
    </row>
    <row r="16" spans="1:7">
      <c r="A16" s="536" t="str">
        <f>VLOOKUP("法術失靈", Data!$B:$D,G1, FALSE)</f>
        <v>法術失靈</v>
      </c>
      <c r="B16" s="802"/>
      <c r="C16" s="445" t="s">
        <v>1648</v>
      </c>
      <c r="D16" s="421" t="str">
        <f>VLOOKUP("法師的房間", Data!$B:$D,G1, FALSE)</f>
        <v>法師的房間</v>
      </c>
      <c r="E16" s="422" t="s">
        <v>3731</v>
      </c>
    </row>
    <row r="17" spans="1:5" ht="15" customHeight="1">
      <c r="A17" s="536" t="str">
        <f>VLOOKUP("尋遺鉤沉", Data!$B:$D,G1, FALSE)</f>
        <v>尋遺鉤沉</v>
      </c>
      <c r="B17" s="802" t="str">
        <f>VLOOKUP("衛斯馬屈山城區", Data!$B:$D,G1, FALSE)</f>
        <v>衛斯馬屈山城區</v>
      </c>
      <c r="C17" s="445" t="s">
        <v>1648</v>
      </c>
      <c r="D17" s="421" t="str">
        <f>VLOOKUP("屍骸之屋", Data!$B:$D,G1, FALSE)</f>
        <v>屍骸之屋</v>
      </c>
      <c r="E17" s="422" t="s">
        <v>3731</v>
      </c>
    </row>
    <row r="18" spans="1:5">
      <c r="A18" s="536" t="str">
        <f>VLOOKUP("逃出火海", Data!$B:$D,G1, FALSE)</f>
        <v>逃出火海</v>
      </c>
      <c r="B18" s="802"/>
      <c r="C18" s="445" t="s">
        <v>1648</v>
      </c>
      <c r="D18" s="421"/>
      <c r="E18" s="422" t="s">
        <v>3731</v>
      </c>
    </row>
    <row r="19" spans="1:5" ht="17" thickBot="1">
      <c r="A19" s="537" t="str">
        <f>VLOOKUP("躲貓貓", Data!$B:$D,G1, FALSE)</f>
        <v>躲貓貓</v>
      </c>
      <c r="B19" s="805"/>
      <c r="C19" s="446" t="s">
        <v>1648</v>
      </c>
      <c r="D19" s="424" t="str">
        <f>VLOOKUP("海利隊長的家", Data!$B:$D,G1, FALSE)</f>
        <v>海利隊長的家</v>
      </c>
      <c r="E19" s="426" t="s">
        <v>3731</v>
      </c>
    </row>
    <row r="20" spans="1:5" ht="17" thickBot="1">
      <c r="A20" s="545"/>
      <c r="B20" s="423"/>
      <c r="C20" s="447"/>
      <c r="D20" s="423"/>
      <c r="E20" s="423"/>
    </row>
    <row r="21" spans="1:5" ht="23" thickBot="1">
      <c r="A21" s="749" t="str">
        <f>VLOOKUP("吾王萬歲", Data!$B:$D,G1, FALSE)</f>
        <v>吾王萬歲</v>
      </c>
      <c r="B21" s="750"/>
      <c r="C21" s="750"/>
      <c r="D21" s="750"/>
      <c r="E21" s="751"/>
    </row>
    <row r="22" spans="1:5" s="498" customFormat="1">
      <c r="A22" s="495" t="s">
        <v>2541</v>
      </c>
      <c r="B22" s="496" t="s">
        <v>2749</v>
      </c>
      <c r="C22" s="803" t="s">
        <v>2748</v>
      </c>
      <c r="D22" s="804"/>
      <c r="E22" s="497" t="s">
        <v>2542</v>
      </c>
    </row>
    <row r="23" spans="1:5">
      <c r="A23" s="536" t="str">
        <f>VLOOKUP("農民造反", Data!$B:$D,G1, FALSE)</f>
        <v>農民造反</v>
      </c>
      <c r="B23" s="776" t="str">
        <f>VLOOKUP("衛斯馬屈城中區", Data!$B:$D,G1, FALSE)</f>
        <v>衛斯馬屈城中區</v>
      </c>
      <c r="C23" s="445" t="s">
        <v>1648</v>
      </c>
      <c r="D23" s="421" t="str">
        <f>VLOOKUP("遇襲的宅邸", Data!$B:$D,G1, FALSE)</f>
        <v>遇襲的宅邸</v>
      </c>
      <c r="E23" s="422" t="s">
        <v>3731</v>
      </c>
    </row>
    <row r="24" spans="1:5">
      <c r="A24" s="536" t="str">
        <f>VLOOKUP("屠殺貴族", Data!$B:$D,G1, FALSE)</f>
        <v>屠殺貴族</v>
      </c>
      <c r="B24" s="777"/>
      <c r="C24" s="448" t="s">
        <v>1648</v>
      </c>
      <c r="D24" s="421" t="str">
        <f>VLOOKUP("文顿庭院", Data!$B:$D,G1, FALSE)</f>
        <v>文顿庭院</v>
      </c>
      <c r="E24" s="422" t="s">
        <v>3731</v>
      </c>
    </row>
    <row r="25" spans="1:5" ht="14.25" customHeight="1" thickBot="1">
      <c r="A25" s="537" t="str">
        <f>VLOOKUP("狼王的真子", Data!$B:$D,G1, FALSE)</f>
        <v>狼王的真子</v>
      </c>
      <c r="B25" s="424" t="str">
        <f>VLOOKUP("衛斯馬屈山城區", Data!$B:$D,G1, FALSE)</f>
        <v>衛斯馬屈山城區</v>
      </c>
      <c r="C25" s="446" t="s">
        <v>1648</v>
      </c>
      <c r="D25" s="424" t="str">
        <f>VLOOKUP("克莱夫顿大厅", Data!$B:$D,G1, FALSE)</f>
        <v>克莱夫顿大厅</v>
      </c>
      <c r="E25" s="426" t="s">
        <v>3731</v>
      </c>
    </row>
    <row r="26" spans="1:5" ht="17" thickBot="1">
      <c r="A26" s="545"/>
      <c r="B26" s="423"/>
      <c r="C26" s="447"/>
      <c r="D26" s="423"/>
      <c r="E26" s="423"/>
    </row>
    <row r="27" spans="1:5" ht="21" customHeight="1" thickBot="1">
      <c r="A27" s="749" t="str">
        <f>VLOOKUP("墓仔埔也敢去", Data!$B:$D,G1, FALSE)</f>
        <v>墓仔埔也敢去</v>
      </c>
      <c r="B27" s="750"/>
      <c r="C27" s="750"/>
      <c r="D27" s="750"/>
      <c r="E27" s="751"/>
    </row>
    <row r="28" spans="1:5" s="498" customFormat="1">
      <c r="A28" s="495" t="s">
        <v>2541</v>
      </c>
      <c r="B28" s="496" t="s">
        <v>2749</v>
      </c>
      <c r="C28" s="803" t="s">
        <v>2748</v>
      </c>
      <c r="D28" s="804"/>
      <c r="E28" s="497" t="s">
        <v>2542</v>
      </c>
    </row>
    <row r="29" spans="1:5">
      <c r="A29" s="536" t="str">
        <f>VLOOKUP("捍衛家族墓穴", Data!$B:$D,G1, FALSE)</f>
        <v>捍衛家族墓穴</v>
      </c>
      <c r="B29" s="802" t="str">
        <f>VLOOKUP("布萊索恩墓園", Data!$B:$D,G1, FALSE)</f>
        <v>布萊索恩墓園</v>
      </c>
      <c r="C29" s="445" t="s">
        <v>1648</v>
      </c>
      <c r="D29" s="421"/>
      <c r="E29" s="422" t="s">
        <v>3731</v>
      </c>
    </row>
    <row r="30" spans="1:5">
      <c r="A30" s="536" t="str">
        <f>VLOOKUP("盜墓賊羅伯特", Data!$B:$D,G1, FALSE)</f>
        <v>盜墓賊羅伯特</v>
      </c>
      <c r="B30" s="802"/>
      <c r="C30" s="445" t="s">
        <v>1648</v>
      </c>
      <c r="D30" s="421"/>
      <c r="E30" s="422" t="s">
        <v>3731</v>
      </c>
    </row>
    <row r="31" spans="1:5">
      <c r="A31" s="536" t="str">
        <f>VLOOKUP("潘妮的請求", Data!$B:$D,G1, FALSE)</f>
        <v>潘妮的請求</v>
      </c>
      <c r="B31" s="802"/>
      <c r="C31" s="445" t="s">
        <v>1648</v>
      </c>
      <c r="D31" s="421"/>
      <c r="E31" s="422" t="s">
        <v>3731</v>
      </c>
    </row>
    <row r="32" spans="1:5">
      <c r="A32" s="536" t="str">
        <f>VLOOKUP("墓園告急", Data!$B:$D,G1, FALSE)</f>
        <v>墓園告急</v>
      </c>
      <c r="B32" s="802"/>
      <c r="C32" s="445" t="s">
        <v>1648</v>
      </c>
      <c r="D32" s="421"/>
      <c r="E32" s="422" t="s">
        <v>3731</v>
      </c>
    </row>
    <row r="33" spans="1:5" ht="17" thickBot="1">
      <c r="A33" s="537" t="str">
        <f>VLOOKUP("傷慟祭壇", Data!$B:$D,G1, FALSE)</f>
        <v>傷慟祭壇</v>
      </c>
      <c r="B33" s="805"/>
      <c r="C33" s="446" t="s">
        <v>1648</v>
      </c>
      <c r="D33" s="424"/>
      <c r="E33" s="426" t="s">
        <v>3731</v>
      </c>
    </row>
    <row r="34" spans="1:5" ht="17" thickBot="1">
      <c r="A34" s="545"/>
      <c r="B34" s="423"/>
      <c r="C34" s="447"/>
      <c r="D34" s="423"/>
      <c r="E34" s="423"/>
    </row>
    <row r="35" spans="1:5" ht="23" thickBot="1">
      <c r="A35" s="749" t="str">
        <f>VLOOKUP("沼澤狀遊", Data!$B:$D,G1, FALSE)</f>
        <v>沼澤狀遊</v>
      </c>
      <c r="B35" s="750"/>
      <c r="C35" s="750"/>
      <c r="D35" s="750"/>
      <c r="E35" s="751"/>
    </row>
    <row r="36" spans="1:5" s="498" customFormat="1">
      <c r="A36" s="495" t="s">
        <v>2541</v>
      </c>
      <c r="B36" s="496" t="s">
        <v>2749</v>
      </c>
      <c r="C36" s="803" t="s">
        <v>2748</v>
      </c>
      <c r="D36" s="804"/>
      <c r="E36" s="497" t="s">
        <v>2542</v>
      </c>
    </row>
    <row r="37" spans="1:5">
      <c r="A37" s="536" t="str">
        <f>VLOOKUP("沼嶺之王", Data!$B:$D,G1, FALSE)</f>
        <v>沼嶺之王</v>
      </c>
      <c r="B37" s="802" t="str">
        <f>VLOOKUP("溺水沼地", Data!$B:$D,G1, FALSE)</f>
        <v>溺水沼地</v>
      </c>
      <c r="C37" s="445" t="s">
        <v>1648</v>
      </c>
      <c r="D37" s="421"/>
      <c r="E37" s="422" t="s">
        <v>3731</v>
      </c>
    </row>
    <row r="38" spans="1:5">
      <c r="A38" s="536" t="str">
        <f>VLOOKUP("愚者之王", Data!$B:$D,G1, FALSE)</f>
        <v>愚者之王</v>
      </c>
      <c r="B38" s="802"/>
      <c r="C38" s="445" t="s">
        <v>4250</v>
      </c>
      <c r="D38" s="421"/>
      <c r="E38" s="422" t="s">
        <v>3731</v>
      </c>
    </row>
    <row r="39" spans="1:5">
      <c r="A39" s="536" t="str">
        <f>VLOOKUP("研究的難題", Data!$B:$D,G1, FALSE)</f>
        <v>研究的難題</v>
      </c>
      <c r="B39" s="802"/>
      <c r="C39" s="445" t="s">
        <v>1649</v>
      </c>
      <c r="D39" s="421"/>
      <c r="E39" s="422" t="s">
        <v>3733</v>
      </c>
    </row>
    <row r="40" spans="1:5">
      <c r="A40" s="536" t="str">
        <f>VLOOKUP("火焚之人", Data!$B:$D,G1, FALSE)</f>
        <v>火焚之人</v>
      </c>
      <c r="B40" s="802"/>
      <c r="C40" s="445" t="s">
        <v>1648</v>
      </c>
      <c r="D40" s="421"/>
      <c r="E40" s="422" t="s">
        <v>3731</v>
      </c>
    </row>
    <row r="41" spans="1:5">
      <c r="A41" s="536" t="str">
        <f>VLOOKUP("沼澤怪秘寶", Data!$B:$D,G1, FALSE)</f>
        <v>沼澤怪秘寶</v>
      </c>
      <c r="B41" s="802"/>
      <c r="C41" s="445" t="s">
        <v>1648</v>
      </c>
      <c r="D41" s="421" t="str">
        <f>VLOOKUP("沼澤怪雜居地", Data!$B:$D,G1, FALSE)</f>
        <v>沼澤怪雜居地</v>
      </c>
      <c r="E41" s="422" t="s">
        <v>3734</v>
      </c>
    </row>
    <row r="42" spans="1:5">
      <c r="A42" s="536" t="str">
        <f>VLOOKUP("蛆蟲巢獸", Data!$B:$D,G1, FALSE)</f>
        <v>蛆蟲巢獸</v>
      </c>
      <c r="B42" s="802"/>
      <c r="C42" s="445"/>
      <c r="D42" s="421" t="str">
        <f>VLOOKUP("盧瑞石洞第二層", Data!$B:$D,G1, FALSE)</f>
        <v>盧瑞石洞第二層</v>
      </c>
      <c r="E42" s="422" t="s">
        <v>4210</v>
      </c>
    </row>
    <row r="43" spans="1:5">
      <c r="A43" s="536" t="str">
        <f>VLOOKUP("失落與遺忘", Data!$B:$D,G1, FALSE)</f>
        <v>失落與遺忘</v>
      </c>
      <c r="B43" s="802"/>
      <c r="C43" s="445"/>
      <c r="D43" s="421" t="str">
        <f>VLOOKUP("曲折洞穴", Data!$B:$D,G1, FALSE)</f>
        <v>曲折洞穴</v>
      </c>
      <c r="E43" s="422" t="s">
        <v>3735</v>
      </c>
    </row>
    <row r="44" spans="1:5" ht="15" customHeight="1">
      <c r="A44" s="536" t="str">
        <f>VLOOKUP("孵化室", Data!$B:$D,G1, FALSE)</f>
        <v>孵化室</v>
      </c>
      <c r="B44" s="802"/>
      <c r="C44" s="445" t="s">
        <v>1649</v>
      </c>
      <c r="D44" s="776" t="str">
        <f>VLOOKUP("寇佛斯入口", Data!$B:$D,G1, FALSE)</f>
        <v>寇佛斯入口</v>
      </c>
      <c r="E44" s="422"/>
    </row>
    <row r="45" spans="1:5">
      <c r="A45" s="536" t="str">
        <f>VLOOKUP("涅法雷姆失落的寶藏", Data!$B:$D,G1, FALSE)</f>
        <v>涅法雷姆失落的寶藏</v>
      </c>
      <c r="B45" s="802"/>
      <c r="C45" s="445" t="s">
        <v>1649</v>
      </c>
      <c r="D45" s="785"/>
      <c r="E45" s="422"/>
    </row>
    <row r="46" spans="1:5">
      <c r="A46" s="536" t="str">
        <f>VLOOKUP("涅法雷姆的聖物", Data!$B:$D,G1, FALSE)</f>
        <v>涅法雷姆的聖物</v>
      </c>
      <c r="B46" s="802"/>
      <c r="C46" s="445"/>
      <c r="D46" s="777"/>
      <c r="E46" s="422" t="s">
        <v>3744</v>
      </c>
    </row>
    <row r="47" spans="1:5" ht="17" thickBot="1">
      <c r="A47" s="537" t="str">
        <f>VLOOKUP("黃金之間", Data!$B:$D,G1, FALSE)</f>
        <v>黃金之間</v>
      </c>
      <c r="B47" s="805"/>
      <c r="C47" s="446" t="s">
        <v>6525</v>
      </c>
      <c r="D47" s="424" t="str">
        <f>VLOOKUP("寇佛斯遺跡", Data!$B:$D,G1, FALSE)</f>
        <v>寇佛斯遺跡</v>
      </c>
      <c r="E47" s="426"/>
    </row>
    <row r="48" spans="1:5" ht="17" thickBot="1">
      <c r="A48" s="545"/>
      <c r="B48" s="423"/>
      <c r="C48" s="447"/>
      <c r="D48" s="423"/>
      <c r="E48" s="423"/>
    </row>
    <row r="49" spans="1:5" ht="21" customHeight="1" thickBot="1">
      <c r="A49" s="749" t="str">
        <f>VLOOKUP("真與幻的邊緣", Data!$B:$D,G1, FALSE)</f>
        <v>真與幻的邊緣</v>
      </c>
      <c r="B49" s="750"/>
      <c r="C49" s="750"/>
      <c r="D49" s="750"/>
      <c r="E49" s="751"/>
    </row>
    <row r="50" spans="1:5" s="498" customFormat="1">
      <c r="A50" s="495" t="s">
        <v>3736</v>
      </c>
      <c r="B50" s="496" t="s">
        <v>2749</v>
      </c>
      <c r="C50" s="803" t="s">
        <v>2748</v>
      </c>
      <c r="D50" s="804"/>
      <c r="E50" s="497" t="s">
        <v>3737</v>
      </c>
    </row>
    <row r="51" spans="1:5">
      <c r="A51" s="536" t="str">
        <f>VLOOKUP("被遺忘在時間洪流中的戰爭", Data!$B:$D,G1, FALSE)</f>
        <v>被遺忘在時間洪流中的戰爭</v>
      </c>
      <c r="B51" s="802" t="str">
        <f>VLOOKUP("永恆戰場", Data!$B:$D,G1, FALSE)</f>
        <v>永恆戰場</v>
      </c>
      <c r="C51" s="445"/>
      <c r="D51" s="421" t="str">
        <f>VLOOKUP("永恆峭壁", Data!$B:$D,G1, FALSE)</f>
        <v>永恆峭壁</v>
      </c>
      <c r="E51" s="422" t="s">
        <v>6836</v>
      </c>
    </row>
    <row r="52" spans="1:5">
      <c r="A52" s="536" t="str">
        <f>VLOOKUP("時光牢籠", Data!$B:$D,G1, FALSE)</f>
        <v>時光牢籠</v>
      </c>
      <c r="B52" s="802"/>
      <c r="C52" s="445"/>
      <c r="D52" s="421"/>
      <c r="E52" s="422" t="s">
        <v>6837</v>
      </c>
    </row>
    <row r="53" spans="1:5">
      <c r="A53" s="536" t="str">
        <f>VLOOKUP("惡魔囚犯", Data!$B:$D,G1, FALSE)</f>
        <v>惡魔囚犯</v>
      </c>
      <c r="B53" s="802"/>
      <c r="C53" s="445"/>
      <c r="D53" s="421"/>
      <c r="E53" s="422" t="s">
        <v>6838</v>
      </c>
    </row>
    <row r="54" spans="1:5">
      <c r="A54" s="536" t="str">
        <f>VLOOKUP("聲東擊西", Data!$B:$D,G1, FALSE)</f>
        <v>聲東擊西</v>
      </c>
      <c r="B54" s="802"/>
      <c r="C54" s="445" t="s">
        <v>1648</v>
      </c>
      <c r="D54" s="421"/>
      <c r="E54" s="422" t="s">
        <v>3731</v>
      </c>
    </row>
    <row r="55" spans="1:5">
      <c r="A55" s="536" t="str">
        <f>VLOOKUP("摰魂儀", Data!$B:$D,G1, FALSE)</f>
        <v>摰魂儀</v>
      </c>
      <c r="B55" s="802"/>
      <c r="C55" s="445" t="s">
        <v>1648</v>
      </c>
      <c r="D55" s="421"/>
      <c r="E55" s="422" t="s">
        <v>3731</v>
      </c>
    </row>
    <row r="56" spans="1:5">
      <c r="A56" s="536" t="str">
        <f>VLOOKUP("死而複生", Data!$B:$D,G1, FALSE)</f>
        <v>死而複生</v>
      </c>
      <c r="B56" s="802"/>
      <c r="C56" s="445" t="s">
        <v>1648</v>
      </c>
      <c r="D56" s="421" t="str">
        <f>VLOOKUP("魔巢廢墟", Data!$B:$D,G1, FALSE)</f>
        <v>魔巢廢墟</v>
      </c>
      <c r="E56" s="422" t="s">
        <v>3731</v>
      </c>
    </row>
    <row r="57" spans="1:5">
      <c r="A57" s="536" t="str">
        <f>VLOOKUP("猛烈攻擊", Data!$B:$D,G1, FALSE)</f>
        <v>猛烈攻擊</v>
      </c>
      <c r="B57" s="802" t="str">
        <f>VLOOKUP("混沌界要塞第一層", Data!$B:$D,G1, FALSE)</f>
        <v>混沌界要塞第一層</v>
      </c>
      <c r="C57" s="445" t="s">
        <v>1648</v>
      </c>
      <c r="D57" s="421"/>
      <c r="E57" s="422" t="s">
        <v>3738</v>
      </c>
    </row>
    <row r="58" spans="1:5">
      <c r="A58" s="536" t="str">
        <f>VLOOKUP("惡魔牢籠", Data!$B:$D,G1, FALSE)</f>
        <v>惡魔牢籠</v>
      </c>
      <c r="B58" s="802"/>
      <c r="C58" s="445" t="s">
        <v>1648</v>
      </c>
      <c r="D58" s="421"/>
      <c r="E58" s="422"/>
    </row>
    <row r="59" spans="1:5">
      <c r="A59" s="536" t="str">
        <f>VLOOKUP("虔信之躍", Data!$B:$D,G1, FALSE)</f>
        <v>虔信之躍</v>
      </c>
      <c r="B59" s="802"/>
      <c r="C59" s="445" t="s">
        <v>1648</v>
      </c>
      <c r="D59" s="421"/>
      <c r="E59" s="422" t="s">
        <v>3738</v>
      </c>
    </row>
    <row r="60" spans="1:5">
      <c r="A60" s="536" t="str">
        <f>VLOOKUP("審判", Data!$B:$D,G1, FALSE)</f>
        <v>審判</v>
      </c>
      <c r="B60" s="802"/>
      <c r="C60" s="445" t="s">
        <v>1648</v>
      </c>
      <c r="D60" s="421"/>
      <c r="E60" s="422" t="s">
        <v>6835</v>
      </c>
    </row>
    <row r="61" spans="1:5">
      <c r="A61" s="536" t="s">
        <v>3739</v>
      </c>
      <c r="B61" s="802"/>
      <c r="C61" s="445" t="s">
        <v>1648</v>
      </c>
      <c r="D61" s="421"/>
      <c r="E61" s="422"/>
    </row>
    <row r="62" spans="1:5" ht="43.5">
      <c r="A62" s="536" t="str">
        <f>VLOOKUP("失落的軍團", Data!$B:$D,G1, FALSE)</f>
        <v>失落的軍團</v>
      </c>
      <c r="B62" s="802" t="str">
        <f>VLOOKUP("混沌界要塞第二層", Data!$B:$D,G1, FALSE)</f>
        <v>混沌界要塞第二層</v>
      </c>
      <c r="C62" s="445" t="s">
        <v>1648</v>
      </c>
      <c r="D62" s="421"/>
      <c r="E62" s="422" t="s">
        <v>3740</v>
      </c>
    </row>
    <row r="63" spans="1:5">
      <c r="A63" s="536" t="str">
        <f>VLOOKUP("遠古刑牢", Data!$B:$D,G1, FALSE)</f>
        <v>遠古刑牢</v>
      </c>
      <c r="B63" s="802"/>
      <c r="C63" s="445" t="s">
        <v>1648</v>
      </c>
      <c r="D63" s="421"/>
      <c r="E63" s="422"/>
    </row>
    <row r="64" spans="1:5">
      <c r="A64" s="536" t="str">
        <f>VLOOKUP("迫在眉睫", Data!$B:$D,G1, FALSE)</f>
        <v>迫在眉睫</v>
      </c>
      <c r="B64" s="802"/>
      <c r="C64" s="445" t="s">
        <v>1648</v>
      </c>
      <c r="D64" s="421"/>
      <c r="E64" s="422" t="s">
        <v>3731</v>
      </c>
    </row>
    <row r="65" spans="1:5" ht="17" thickBot="1">
      <c r="A65" s="537" t="str">
        <f>VLOOKUP("水晶囚牢", Data!$B:$D,G1, FALSE)</f>
        <v>水晶囚牢</v>
      </c>
      <c r="B65" s="805"/>
      <c r="C65" s="446" t="s">
        <v>1648</v>
      </c>
      <c r="D65" s="424"/>
      <c r="E65" s="426"/>
    </row>
    <row r="66" spans="1:5" ht="17" thickBot="1"/>
    <row r="67" spans="1:5" ht="17" thickBot="1">
      <c r="A67" s="786" t="s">
        <v>538</v>
      </c>
      <c r="B67" s="787"/>
      <c r="C67" s="787"/>
      <c r="D67" s="787"/>
      <c r="E67" s="788"/>
    </row>
    <row r="68" spans="1:5">
      <c r="A68" s="789" t="s">
        <v>3741</v>
      </c>
      <c r="B68" s="790"/>
      <c r="C68" s="790"/>
      <c r="D68" s="790"/>
      <c r="E68" s="791"/>
    </row>
    <row r="69" spans="1:5">
      <c r="A69" s="789" t="s">
        <v>539</v>
      </c>
      <c r="B69" s="790"/>
      <c r="C69" s="790"/>
      <c r="D69" s="790"/>
      <c r="E69" s="791"/>
    </row>
    <row r="70" spans="1:5">
      <c r="A70" s="789" t="s">
        <v>540</v>
      </c>
      <c r="B70" s="790"/>
      <c r="C70" s="790"/>
      <c r="D70" s="790"/>
      <c r="E70" s="791"/>
    </row>
    <row r="71" spans="1:5">
      <c r="A71" s="789" t="s">
        <v>541</v>
      </c>
      <c r="B71" s="790"/>
      <c r="C71" s="790"/>
      <c r="D71" s="790"/>
      <c r="E71" s="791"/>
    </row>
    <row r="72" spans="1:5">
      <c r="A72" s="789" t="s">
        <v>542</v>
      </c>
      <c r="B72" s="790"/>
      <c r="C72" s="790"/>
      <c r="D72" s="790"/>
      <c r="E72" s="791"/>
    </row>
    <row r="73" spans="1:5">
      <c r="A73" s="789" t="s">
        <v>543</v>
      </c>
      <c r="B73" s="790"/>
      <c r="C73" s="790"/>
      <c r="D73" s="790"/>
      <c r="E73" s="791"/>
    </row>
    <row r="74" spans="1:5">
      <c r="A74" s="789" t="s">
        <v>3742</v>
      </c>
      <c r="B74" s="790"/>
      <c r="C74" s="790"/>
      <c r="D74" s="790"/>
      <c r="E74" s="791"/>
    </row>
    <row r="75" spans="1:5" ht="17" thickBot="1">
      <c r="A75" s="782" t="s">
        <v>3710</v>
      </c>
      <c r="B75" s="783"/>
      <c r="C75" s="783"/>
      <c r="D75" s="783"/>
      <c r="E75" s="784"/>
    </row>
  </sheetData>
  <mergeCells count="28">
    <mergeCell ref="B62:B65"/>
    <mergeCell ref="A75:E75"/>
    <mergeCell ref="A67:E67"/>
    <mergeCell ref="A69:E69"/>
    <mergeCell ref="A70:E70"/>
    <mergeCell ref="A71:E71"/>
    <mergeCell ref="A72:E72"/>
    <mergeCell ref="A73:E73"/>
    <mergeCell ref="A74:E74"/>
    <mergeCell ref="A68:E68"/>
    <mergeCell ref="B57:B61"/>
    <mergeCell ref="B17:B19"/>
    <mergeCell ref="A27:E27"/>
    <mergeCell ref="B37:B47"/>
    <mergeCell ref="D44:D46"/>
    <mergeCell ref="B29:B33"/>
    <mergeCell ref="A35:E35"/>
    <mergeCell ref="B23:B24"/>
    <mergeCell ref="A21:E21"/>
    <mergeCell ref="C22:D22"/>
    <mergeCell ref="C28:D28"/>
    <mergeCell ref="C36:D36"/>
    <mergeCell ref="C50:D50"/>
    <mergeCell ref="B4:B16"/>
    <mergeCell ref="A2:E2"/>
    <mergeCell ref="A49:E49"/>
    <mergeCell ref="C3:D3"/>
    <mergeCell ref="B51:B56"/>
  </mergeCells>
  <phoneticPr fontId="7" type="noConversion"/>
  <dataValidations count="1">
    <dataValidation type="list" allowBlank="1" showInputMessage="1" showErrorMessage="1" sqref="F1" xr:uid="{00000000-0002-0000-0D00-000000000000}">
      <formula1>"繁體中文,简体中文"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4"/>
  <sheetViews>
    <sheetView workbookViewId="0">
      <selection sqref="A1:F1"/>
    </sheetView>
  </sheetViews>
  <sheetFormatPr defaultRowHeight="15"/>
  <cols>
    <col min="1" max="1" width="19.4140625" customWidth="1"/>
    <col min="2" max="2" width="23.5" customWidth="1"/>
    <col min="3" max="3" width="16.08203125" customWidth="1"/>
    <col min="4" max="4" width="10.6640625" customWidth="1"/>
    <col min="5" max="5" width="47" customWidth="1"/>
    <col min="6" max="6" width="14.58203125" customWidth="1"/>
    <col min="8" max="8" width="50.9140625" customWidth="1"/>
    <col min="9" max="9" width="68.4140625" customWidth="1"/>
  </cols>
  <sheetData>
    <row r="1" spans="1:10" ht="21" customHeight="1" thickBot="1">
      <c r="A1" s="806" t="s">
        <v>715</v>
      </c>
      <c r="B1" s="807"/>
      <c r="C1" s="807"/>
      <c r="D1" s="807"/>
      <c r="E1" s="807"/>
      <c r="F1" s="808"/>
      <c r="H1" t="s">
        <v>463</v>
      </c>
    </row>
    <row r="2" spans="1:10" ht="15.5" thickBot="1">
      <c r="A2" s="2" t="s">
        <v>301</v>
      </c>
      <c r="B2" s="3" t="s">
        <v>302</v>
      </c>
      <c r="C2" s="4" t="s">
        <v>303</v>
      </c>
      <c r="D2" s="5" t="s">
        <v>304</v>
      </c>
      <c r="E2" s="8" t="s">
        <v>689</v>
      </c>
      <c r="F2" s="9" t="s">
        <v>305</v>
      </c>
      <c r="H2" s="18" t="s">
        <v>428</v>
      </c>
      <c r="I2" s="18" t="s">
        <v>408</v>
      </c>
    </row>
    <row r="3" spans="1:10">
      <c r="A3" s="10" t="s">
        <v>126</v>
      </c>
      <c r="B3" s="6" t="s">
        <v>127</v>
      </c>
      <c r="C3" s="6" t="s">
        <v>128</v>
      </c>
      <c r="D3" s="6" t="s">
        <v>129</v>
      </c>
      <c r="E3" s="6" t="s">
        <v>130</v>
      </c>
      <c r="F3" s="11"/>
      <c r="H3" s="19"/>
      <c r="I3" s="19"/>
    </row>
    <row r="4" spans="1:10" ht="65">
      <c r="A4" s="10" t="s">
        <v>501</v>
      </c>
      <c r="B4" s="6" t="s">
        <v>132</v>
      </c>
      <c r="C4" s="6" t="s">
        <v>133</v>
      </c>
      <c r="D4" s="6" t="s">
        <v>134</v>
      </c>
      <c r="E4" s="24" t="s">
        <v>653</v>
      </c>
      <c r="F4" s="16" t="s">
        <v>500</v>
      </c>
      <c r="H4" s="19" t="s">
        <v>410</v>
      </c>
      <c r="I4" s="20" t="s">
        <v>471</v>
      </c>
    </row>
    <row r="5" spans="1:10" ht="65">
      <c r="A5" s="10" t="s">
        <v>135</v>
      </c>
      <c r="B5" s="6" t="s">
        <v>136</v>
      </c>
      <c r="C5" s="6" t="s">
        <v>137</v>
      </c>
      <c r="D5" s="6" t="s">
        <v>138</v>
      </c>
      <c r="E5" s="24" t="s">
        <v>654</v>
      </c>
      <c r="F5" s="16" t="s">
        <v>407</v>
      </c>
      <c r="H5" s="20" t="s">
        <v>464</v>
      </c>
      <c r="I5" s="20" t="s">
        <v>502</v>
      </c>
    </row>
    <row r="6" spans="1:10" ht="52">
      <c r="A6" s="10" t="s">
        <v>139</v>
      </c>
      <c r="B6" s="6" t="s">
        <v>140</v>
      </c>
      <c r="C6" s="6" t="s">
        <v>141</v>
      </c>
      <c r="D6" s="6" t="s">
        <v>142</v>
      </c>
      <c r="E6" s="24" t="s">
        <v>655</v>
      </c>
      <c r="F6" s="16" t="s">
        <v>483</v>
      </c>
      <c r="H6" s="19"/>
      <c r="I6" s="19"/>
    </row>
    <row r="7" spans="1:10" ht="65">
      <c r="A7" s="10" t="s">
        <v>504</v>
      </c>
      <c r="B7" s="6" t="s">
        <v>145</v>
      </c>
      <c r="C7" s="6" t="s">
        <v>146</v>
      </c>
      <c r="D7" s="6" t="s">
        <v>147</v>
      </c>
      <c r="E7" s="24" t="s">
        <v>656</v>
      </c>
      <c r="F7" s="16" t="s">
        <v>475</v>
      </c>
      <c r="H7" s="20" t="s">
        <v>438</v>
      </c>
      <c r="I7" s="20" t="s">
        <v>484</v>
      </c>
      <c r="J7" t="s">
        <v>469</v>
      </c>
    </row>
    <row r="8" spans="1:10" ht="26">
      <c r="A8" s="10" t="s">
        <v>479</v>
      </c>
      <c r="B8" s="6" t="s">
        <v>150</v>
      </c>
      <c r="C8" s="6" t="s">
        <v>151</v>
      </c>
      <c r="D8" s="6" t="s">
        <v>152</v>
      </c>
      <c r="E8" s="24" t="s">
        <v>657</v>
      </c>
      <c r="F8" s="12" t="s">
        <v>478</v>
      </c>
    </row>
    <row r="9" spans="1:10" ht="39">
      <c r="A9" s="10" t="s">
        <v>486</v>
      </c>
      <c r="B9" s="6" t="s">
        <v>154</v>
      </c>
      <c r="C9" s="6" t="s">
        <v>155</v>
      </c>
      <c r="D9" s="6" t="s">
        <v>156</v>
      </c>
      <c r="E9" s="24" t="s">
        <v>658</v>
      </c>
      <c r="F9" s="12" t="s">
        <v>409</v>
      </c>
      <c r="H9" s="19" t="s">
        <v>411</v>
      </c>
      <c r="I9" s="20" t="s">
        <v>485</v>
      </c>
    </row>
    <row r="10" spans="1:10" ht="52">
      <c r="A10" s="10" t="s">
        <v>631</v>
      </c>
      <c r="B10" s="6" t="s">
        <v>157</v>
      </c>
      <c r="C10" s="6" t="s">
        <v>159</v>
      </c>
      <c r="D10" s="6" t="s">
        <v>160</v>
      </c>
      <c r="E10" s="24" t="s">
        <v>685</v>
      </c>
      <c r="F10" s="16" t="s">
        <v>412</v>
      </c>
      <c r="H10" s="20" t="s">
        <v>413</v>
      </c>
      <c r="I10" s="20" t="s">
        <v>468</v>
      </c>
    </row>
    <row r="11" spans="1:10" ht="91">
      <c r="A11" s="10" t="s">
        <v>630</v>
      </c>
      <c r="B11" s="6" t="s">
        <v>162</v>
      </c>
      <c r="C11" s="6" t="s">
        <v>163</v>
      </c>
      <c r="D11" s="6" t="s">
        <v>164</v>
      </c>
      <c r="E11" s="24" t="s">
        <v>686</v>
      </c>
      <c r="F11" s="16" t="s">
        <v>499</v>
      </c>
      <c r="H11" s="20" t="s">
        <v>498</v>
      </c>
      <c r="I11" s="20" t="s">
        <v>629</v>
      </c>
    </row>
    <row r="12" spans="1:10" ht="39">
      <c r="A12" s="10" t="s">
        <v>497</v>
      </c>
      <c r="B12" s="6" t="s">
        <v>165</v>
      </c>
      <c r="C12" s="6" t="s">
        <v>167</v>
      </c>
      <c r="D12" s="6" t="s">
        <v>168</v>
      </c>
      <c r="E12" s="24" t="s">
        <v>661</v>
      </c>
      <c r="F12" s="16" t="s">
        <v>496</v>
      </c>
      <c r="H12" s="20" t="s">
        <v>495</v>
      </c>
      <c r="I12" s="20" t="s">
        <v>414</v>
      </c>
    </row>
    <row r="13" spans="1:10" ht="65">
      <c r="A13" s="10" t="s">
        <v>635</v>
      </c>
      <c r="B13" s="6" t="s">
        <v>171</v>
      </c>
      <c r="C13" s="6" t="s">
        <v>172</v>
      </c>
      <c r="D13" s="6" t="s">
        <v>173</v>
      </c>
      <c r="E13" s="24" t="s">
        <v>660</v>
      </c>
      <c r="F13" s="16" t="s">
        <v>415</v>
      </c>
      <c r="H13" s="20" t="s">
        <v>417</v>
      </c>
      <c r="I13" s="20" t="s">
        <v>416</v>
      </c>
    </row>
    <row r="14" spans="1:10" ht="65">
      <c r="A14" s="10" t="s">
        <v>474</v>
      </c>
      <c r="B14" s="6" t="s">
        <v>174</v>
      </c>
      <c r="C14" s="6" t="s">
        <v>176</v>
      </c>
      <c r="D14" s="6" t="s">
        <v>177</v>
      </c>
      <c r="E14" s="24" t="s">
        <v>684</v>
      </c>
      <c r="F14" s="16" t="s">
        <v>418</v>
      </c>
      <c r="H14" s="20" t="s">
        <v>419</v>
      </c>
      <c r="I14" s="19" t="s">
        <v>470</v>
      </c>
    </row>
    <row r="15" spans="1:10" ht="39">
      <c r="A15" s="10" t="s">
        <v>179</v>
      </c>
      <c r="B15" s="6" t="s">
        <v>178</v>
      </c>
      <c r="C15" s="6" t="s">
        <v>180</v>
      </c>
      <c r="D15" s="6" t="s">
        <v>147</v>
      </c>
      <c r="E15" s="24" t="s">
        <v>659</v>
      </c>
      <c r="F15" s="12" t="s">
        <v>421</v>
      </c>
      <c r="H15" s="19" t="s">
        <v>422</v>
      </c>
      <c r="I15" s="19"/>
    </row>
    <row r="16" spans="1:10" ht="26">
      <c r="A16" s="10" t="s">
        <v>620</v>
      </c>
      <c r="B16" s="6" t="s">
        <v>182</v>
      </c>
      <c r="C16" s="6" t="s">
        <v>184</v>
      </c>
      <c r="D16" s="6" t="s">
        <v>185</v>
      </c>
      <c r="E16" s="7" t="s">
        <v>619</v>
      </c>
      <c r="F16" s="12" t="s">
        <v>423</v>
      </c>
      <c r="H16" s="19" t="s">
        <v>424</v>
      </c>
      <c r="I16" s="19" t="s">
        <v>618</v>
      </c>
    </row>
    <row r="17" spans="1:9" ht="39">
      <c r="A17" s="10" t="s">
        <v>187</v>
      </c>
      <c r="B17" s="6" t="s">
        <v>188</v>
      </c>
      <c r="C17" s="6" t="s">
        <v>189</v>
      </c>
      <c r="D17" s="6" t="s">
        <v>190</v>
      </c>
      <c r="E17" s="24" t="s">
        <v>682</v>
      </c>
      <c r="F17" s="16" t="s">
        <v>425</v>
      </c>
      <c r="H17" s="20" t="s">
        <v>426</v>
      </c>
      <c r="I17" s="20" t="s">
        <v>427</v>
      </c>
    </row>
    <row r="18" spans="1:9">
      <c r="A18" s="10" t="s">
        <v>405</v>
      </c>
      <c r="B18" s="6" t="s">
        <v>191</v>
      </c>
      <c r="C18" s="6" t="s">
        <v>193</v>
      </c>
      <c r="D18" s="6" t="s">
        <v>194</v>
      </c>
      <c r="E18" s="7" t="s">
        <v>406</v>
      </c>
      <c r="F18" s="12" t="s">
        <v>70</v>
      </c>
      <c r="H18" s="19" t="s">
        <v>429</v>
      </c>
      <c r="I18" s="19"/>
    </row>
    <row r="19" spans="1:9" ht="52">
      <c r="A19" s="10" t="s">
        <v>627</v>
      </c>
      <c r="B19" s="6" t="s">
        <v>197</v>
      </c>
      <c r="C19" s="6" t="s">
        <v>198</v>
      </c>
      <c r="D19" s="6" t="s">
        <v>199</v>
      </c>
      <c r="E19" s="24" t="s">
        <v>683</v>
      </c>
      <c r="F19" s="12" t="s">
        <v>476</v>
      </c>
      <c r="H19" s="19"/>
      <c r="I19" s="19"/>
    </row>
    <row r="20" spans="1:9">
      <c r="A20" s="10" t="s">
        <v>307</v>
      </c>
      <c r="B20" s="6" t="s">
        <v>200</v>
      </c>
      <c r="C20" s="6" t="s">
        <v>201</v>
      </c>
      <c r="D20" s="6" t="s">
        <v>202</v>
      </c>
      <c r="E20" s="6" t="s">
        <v>203</v>
      </c>
      <c r="F20" s="12"/>
      <c r="H20" s="19"/>
      <c r="I20" s="19"/>
    </row>
    <row r="21" spans="1:9" ht="26">
      <c r="A21" s="10" t="s">
        <v>624</v>
      </c>
      <c r="B21" s="6" t="s">
        <v>207</v>
      </c>
      <c r="C21" s="6" t="s">
        <v>205</v>
      </c>
      <c r="D21" s="6" t="s">
        <v>206</v>
      </c>
      <c r="E21" s="24" t="s">
        <v>681</v>
      </c>
      <c r="F21" s="12" t="s">
        <v>430</v>
      </c>
      <c r="H21" s="19" t="s">
        <v>431</v>
      </c>
      <c r="I21" s="19" t="s">
        <v>432</v>
      </c>
    </row>
    <row r="22" spans="1:9" ht="39">
      <c r="A22" s="10" t="s">
        <v>209</v>
      </c>
      <c r="B22" s="6" t="s">
        <v>208</v>
      </c>
      <c r="C22" s="6" t="s">
        <v>210</v>
      </c>
      <c r="D22" s="6" t="s">
        <v>211</v>
      </c>
      <c r="E22" s="24" t="s">
        <v>680</v>
      </c>
      <c r="F22" s="12" t="s">
        <v>433</v>
      </c>
      <c r="H22" s="19" t="s">
        <v>434</v>
      </c>
      <c r="I22" s="20" t="s">
        <v>435</v>
      </c>
    </row>
    <row r="23" spans="1:9" ht="52">
      <c r="A23" s="10" t="s">
        <v>641</v>
      </c>
      <c r="B23" s="6" t="s">
        <v>213</v>
      </c>
      <c r="C23" s="6" t="s">
        <v>214</v>
      </c>
      <c r="D23" s="6" t="s">
        <v>173</v>
      </c>
      <c r="E23" s="24" t="s">
        <v>640</v>
      </c>
      <c r="F23" s="12" t="s">
        <v>436</v>
      </c>
      <c r="H23" s="19" t="s">
        <v>437</v>
      </c>
      <c r="I23" s="20" t="s">
        <v>617</v>
      </c>
    </row>
    <row r="24" spans="1:9" ht="39">
      <c r="A24" s="10" t="s">
        <v>215</v>
      </c>
      <c r="B24" s="6" t="s">
        <v>218</v>
      </c>
      <c r="C24" s="6" t="s">
        <v>216</v>
      </c>
      <c r="D24" s="6" t="s">
        <v>217</v>
      </c>
      <c r="E24" s="24" t="s">
        <v>679</v>
      </c>
      <c r="F24" s="12" t="s">
        <v>439</v>
      </c>
      <c r="H24" s="19" t="s">
        <v>440</v>
      </c>
      <c r="I24" s="20" t="s">
        <v>441</v>
      </c>
    </row>
    <row r="25" spans="1:9">
      <c r="A25" s="10" t="s">
        <v>221</v>
      </c>
      <c r="B25" s="6" t="s">
        <v>220</v>
      </c>
      <c r="C25" s="6" t="s">
        <v>222</v>
      </c>
      <c r="D25" s="6" t="s">
        <v>223</v>
      </c>
      <c r="E25" s="24" t="s">
        <v>678</v>
      </c>
      <c r="F25" s="12" t="s">
        <v>335</v>
      </c>
      <c r="H25" s="19"/>
      <c r="I25" s="19"/>
    </row>
    <row r="26" spans="1:9">
      <c r="A26" s="10" t="s">
        <v>226</v>
      </c>
      <c r="B26" s="6" t="s">
        <v>225</v>
      </c>
      <c r="C26" s="6" t="s">
        <v>227</v>
      </c>
      <c r="D26" s="6" t="s">
        <v>173</v>
      </c>
      <c r="E26" s="24" t="s">
        <v>677</v>
      </c>
      <c r="F26" s="12" t="s">
        <v>336</v>
      </c>
      <c r="H26" s="19"/>
      <c r="I26" s="19"/>
    </row>
    <row r="27" spans="1:9" ht="78">
      <c r="A27" s="10" t="s">
        <v>480</v>
      </c>
      <c r="B27" s="6" t="s">
        <v>231</v>
      </c>
      <c r="C27" s="6" t="s">
        <v>230</v>
      </c>
      <c r="D27" s="6" t="s">
        <v>173</v>
      </c>
      <c r="E27" s="24" t="s">
        <v>676</v>
      </c>
      <c r="F27" s="16" t="s">
        <v>487</v>
      </c>
      <c r="H27" s="19" t="s">
        <v>442</v>
      </c>
      <c r="I27" s="20" t="s">
        <v>443</v>
      </c>
    </row>
    <row r="28" spans="1:9" ht="39">
      <c r="A28" s="10" t="s">
        <v>634</v>
      </c>
      <c r="B28" s="6" t="s">
        <v>233</v>
      </c>
      <c r="C28" s="6" t="s">
        <v>235</v>
      </c>
      <c r="D28" s="6" t="s">
        <v>236</v>
      </c>
      <c r="E28" s="24" t="s">
        <v>675</v>
      </c>
      <c r="F28" s="12" t="s">
        <v>444</v>
      </c>
      <c r="H28" s="19" t="s">
        <v>445</v>
      </c>
      <c r="I28" s="19" t="s">
        <v>633</v>
      </c>
    </row>
    <row r="29" spans="1:9" ht="26">
      <c r="A29" s="10" t="s">
        <v>238</v>
      </c>
      <c r="B29" s="6" t="s">
        <v>239</v>
      </c>
      <c r="C29" s="6" t="s">
        <v>240</v>
      </c>
      <c r="D29" s="6" t="s">
        <v>255</v>
      </c>
      <c r="E29" s="7" t="s">
        <v>467</v>
      </c>
      <c r="F29" s="12" t="s">
        <v>446</v>
      </c>
      <c r="H29" s="19" t="s">
        <v>447</v>
      </c>
      <c r="I29" s="19"/>
    </row>
    <row r="30" spans="1:9">
      <c r="A30" s="10" t="s">
        <v>241</v>
      </c>
      <c r="B30" s="6" t="s">
        <v>248</v>
      </c>
      <c r="C30" s="6" t="s">
        <v>242</v>
      </c>
      <c r="D30" s="6" t="s">
        <v>243</v>
      </c>
      <c r="E30" s="24" t="s">
        <v>674</v>
      </c>
      <c r="F30" s="12" t="s">
        <v>335</v>
      </c>
      <c r="H30" s="19"/>
      <c r="I30" s="19"/>
    </row>
    <row r="31" spans="1:9" ht="52">
      <c r="A31" s="10" t="s">
        <v>477</v>
      </c>
      <c r="B31" s="6" t="s">
        <v>244</v>
      </c>
      <c r="C31" s="6" t="s">
        <v>246</v>
      </c>
      <c r="D31" s="6" t="s">
        <v>247</v>
      </c>
      <c r="E31" s="24" t="s">
        <v>673</v>
      </c>
      <c r="F31" s="12" t="s">
        <v>489</v>
      </c>
      <c r="H31" s="20" t="s">
        <v>448</v>
      </c>
      <c r="I31" s="20" t="s">
        <v>488</v>
      </c>
    </row>
    <row r="32" spans="1:9" ht="104">
      <c r="A32" s="10" t="s">
        <v>622</v>
      </c>
      <c r="B32" s="6" t="s">
        <v>251</v>
      </c>
      <c r="C32" s="6" t="s">
        <v>250</v>
      </c>
      <c r="D32" s="6" t="s">
        <v>173</v>
      </c>
      <c r="E32" s="24" t="s">
        <v>672</v>
      </c>
      <c r="F32" s="16" t="s">
        <v>343</v>
      </c>
      <c r="H32" s="20" t="s">
        <v>449</v>
      </c>
      <c r="I32" s="20" t="s">
        <v>621</v>
      </c>
    </row>
    <row r="33" spans="1:9" ht="52">
      <c r="A33" s="10" t="s">
        <v>623</v>
      </c>
      <c r="B33" s="6" t="s">
        <v>257</v>
      </c>
      <c r="C33" s="6" t="s">
        <v>254</v>
      </c>
      <c r="D33" s="6" t="s">
        <v>256</v>
      </c>
      <c r="E33" s="24" t="s">
        <v>671</v>
      </c>
      <c r="F33" s="16" t="s">
        <v>345</v>
      </c>
      <c r="H33" s="20" t="s">
        <v>450</v>
      </c>
      <c r="I33" s="20" t="s">
        <v>636</v>
      </c>
    </row>
    <row r="34" spans="1:9" ht="39">
      <c r="A34" s="10" t="s">
        <v>258</v>
      </c>
      <c r="B34" s="6" t="s">
        <v>261</v>
      </c>
      <c r="C34" s="6" t="s">
        <v>259</v>
      </c>
      <c r="D34" s="6" t="s">
        <v>260</v>
      </c>
      <c r="E34" s="24" t="s">
        <v>490</v>
      </c>
      <c r="F34" s="16" t="s">
        <v>491</v>
      </c>
      <c r="H34" s="19"/>
      <c r="I34" s="19"/>
    </row>
    <row r="35" spans="1:9" ht="26">
      <c r="A35" s="10" t="s">
        <v>262</v>
      </c>
      <c r="B35" s="6" t="s">
        <v>265</v>
      </c>
      <c r="C35" s="6" t="s">
        <v>263</v>
      </c>
      <c r="D35" s="6" t="s">
        <v>264</v>
      </c>
      <c r="E35" s="24" t="s">
        <v>670</v>
      </c>
      <c r="F35" s="12" t="s">
        <v>451</v>
      </c>
      <c r="H35" s="19" t="s">
        <v>452</v>
      </c>
      <c r="I35" s="19"/>
    </row>
    <row r="36" spans="1:9" ht="65">
      <c r="A36" s="10" t="s">
        <v>628</v>
      </c>
      <c r="B36" s="6" t="s">
        <v>266</v>
      </c>
      <c r="C36" s="6" t="s">
        <v>268</v>
      </c>
      <c r="D36" s="6" t="s">
        <v>269</v>
      </c>
      <c r="E36" s="24" t="s">
        <v>669</v>
      </c>
      <c r="F36" s="12" t="s">
        <v>453</v>
      </c>
      <c r="H36" s="19" t="s">
        <v>454</v>
      </c>
      <c r="I36" s="19"/>
    </row>
    <row r="37" spans="1:9" ht="26">
      <c r="A37" s="10" t="s">
        <v>271</v>
      </c>
      <c r="B37" s="6" t="s">
        <v>270</v>
      </c>
      <c r="C37" s="6" t="s">
        <v>272</v>
      </c>
      <c r="D37" s="6" t="s">
        <v>273</v>
      </c>
      <c r="E37" s="24" t="s">
        <v>668</v>
      </c>
      <c r="F37" s="12" t="s">
        <v>72</v>
      </c>
      <c r="H37" s="19"/>
      <c r="I37" s="19"/>
    </row>
    <row r="38" spans="1:9" ht="52">
      <c r="A38" s="10" t="s">
        <v>275</v>
      </c>
      <c r="B38" s="6" t="s">
        <v>277</v>
      </c>
      <c r="C38" s="6" t="s">
        <v>276</v>
      </c>
      <c r="D38" s="6" t="s">
        <v>260</v>
      </c>
      <c r="E38" s="24" t="s">
        <v>667</v>
      </c>
      <c r="F38" s="16" t="s">
        <v>353</v>
      </c>
      <c r="H38" s="20" t="s">
        <v>455</v>
      </c>
      <c r="I38" s="19" t="s">
        <v>456</v>
      </c>
    </row>
    <row r="39" spans="1:9" ht="65">
      <c r="A39" s="10" t="s">
        <v>632</v>
      </c>
      <c r="B39" s="6" t="s">
        <v>280</v>
      </c>
      <c r="C39" s="6" t="s">
        <v>279</v>
      </c>
      <c r="D39" s="6" t="s">
        <v>173</v>
      </c>
      <c r="E39" s="24" t="s">
        <v>666</v>
      </c>
      <c r="F39" s="16" t="s">
        <v>457</v>
      </c>
      <c r="H39" s="20" t="s">
        <v>458</v>
      </c>
      <c r="I39" s="19" t="s">
        <v>466</v>
      </c>
    </row>
    <row r="40" spans="1:9" ht="39">
      <c r="A40" s="10" t="s">
        <v>282</v>
      </c>
      <c r="B40" s="6" t="s">
        <v>285</v>
      </c>
      <c r="C40" s="6" t="s">
        <v>283</v>
      </c>
      <c r="D40" s="6" t="s">
        <v>284</v>
      </c>
      <c r="E40" s="24" t="s">
        <v>665</v>
      </c>
      <c r="F40" s="12" t="s">
        <v>459</v>
      </c>
      <c r="H40" s="19" t="s">
        <v>460</v>
      </c>
      <c r="I40" s="20" t="s">
        <v>481</v>
      </c>
    </row>
    <row r="41" spans="1:9" ht="91">
      <c r="A41" s="10" t="s">
        <v>639</v>
      </c>
      <c r="B41" s="6" t="s">
        <v>287</v>
      </c>
      <c r="C41" s="6" t="s">
        <v>288</v>
      </c>
      <c r="D41" s="6" t="s">
        <v>243</v>
      </c>
      <c r="E41" s="24" t="s">
        <v>664</v>
      </c>
      <c r="F41" s="16" t="s">
        <v>492</v>
      </c>
      <c r="H41" s="19" t="s">
        <v>429</v>
      </c>
      <c r="I41" s="19"/>
    </row>
    <row r="42" spans="1:9">
      <c r="A42" s="10" t="s">
        <v>290</v>
      </c>
      <c r="B42" s="6" t="s">
        <v>291</v>
      </c>
      <c r="C42" s="6" t="s">
        <v>292</v>
      </c>
      <c r="D42" s="6" t="s">
        <v>156</v>
      </c>
      <c r="E42" s="7" t="s">
        <v>472</v>
      </c>
      <c r="F42" s="12" t="s">
        <v>473</v>
      </c>
      <c r="H42" s="19"/>
      <c r="I42" s="19"/>
    </row>
    <row r="43" spans="1:9" ht="26">
      <c r="A43" s="10" t="s">
        <v>293</v>
      </c>
      <c r="B43" s="6" t="s">
        <v>296</v>
      </c>
      <c r="C43" s="6" t="s">
        <v>294</v>
      </c>
      <c r="D43" s="6" t="s">
        <v>295</v>
      </c>
      <c r="E43" s="24" t="s">
        <v>663</v>
      </c>
      <c r="F43" s="16" t="s">
        <v>616</v>
      </c>
      <c r="H43" s="19"/>
      <c r="I43" s="19"/>
    </row>
    <row r="44" spans="1:9" ht="52.5" thickBot="1">
      <c r="A44" s="13" t="s">
        <v>503</v>
      </c>
      <c r="B44" s="14" t="s">
        <v>299</v>
      </c>
      <c r="C44" s="14" t="s">
        <v>306</v>
      </c>
      <c r="D44" s="14" t="s">
        <v>298</v>
      </c>
      <c r="E44" s="25" t="s">
        <v>662</v>
      </c>
      <c r="F44" s="17" t="s">
        <v>461</v>
      </c>
      <c r="H44" s="20" t="s">
        <v>462</v>
      </c>
      <c r="I44" s="20" t="s">
        <v>642</v>
      </c>
    </row>
  </sheetData>
  <mergeCells count="1">
    <mergeCell ref="A1:F1"/>
  </mergeCells>
  <phoneticPr fontId="7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4"/>
  <sheetViews>
    <sheetView workbookViewId="0">
      <selection activeCell="I2" sqref="I2"/>
    </sheetView>
  </sheetViews>
  <sheetFormatPr defaultRowHeight="15"/>
  <cols>
    <col min="1" max="1" width="30.6640625" customWidth="1"/>
    <col min="2" max="2" width="19.4140625" customWidth="1"/>
    <col min="3" max="3" width="23.5" customWidth="1"/>
    <col min="4" max="4" width="16.08203125" customWidth="1"/>
    <col min="5" max="5" width="10.6640625" customWidth="1"/>
    <col min="6" max="6" width="40.9140625" customWidth="1"/>
    <col min="7" max="7" width="14.58203125" customWidth="1"/>
  </cols>
  <sheetData>
    <row r="1" spans="1:7" ht="21" customHeight="1" thickBot="1">
      <c r="A1" s="809" t="s">
        <v>308</v>
      </c>
      <c r="B1" s="809"/>
      <c r="C1" s="809"/>
      <c r="D1" s="809"/>
      <c r="E1" s="809"/>
      <c r="F1" s="809"/>
      <c r="G1" s="810"/>
    </row>
    <row r="2" spans="1:7" ht="15.5" thickBot="1">
      <c r="A2" t="s">
        <v>404</v>
      </c>
      <c r="B2" s="2" t="s">
        <v>301</v>
      </c>
      <c r="C2" s="3" t="s">
        <v>302</v>
      </c>
      <c r="D2" s="4" t="s">
        <v>303</v>
      </c>
      <c r="E2" s="5" t="s">
        <v>304</v>
      </c>
      <c r="F2" s="8" t="s">
        <v>361</v>
      </c>
      <c r="G2" s="9" t="s">
        <v>305</v>
      </c>
    </row>
    <row r="3" spans="1:7">
      <c r="A3" t="s">
        <v>364</v>
      </c>
      <c r="B3" s="10" t="s">
        <v>126</v>
      </c>
      <c r="C3" s="6" t="s">
        <v>127</v>
      </c>
      <c r="D3" s="6" t="s">
        <v>128</v>
      </c>
      <c r="E3" s="6" t="s">
        <v>129</v>
      </c>
      <c r="F3" s="6" t="s">
        <v>130</v>
      </c>
      <c r="G3" s="11"/>
    </row>
    <row r="4" spans="1:7" ht="26">
      <c r="A4" t="s">
        <v>366</v>
      </c>
      <c r="B4" s="10" t="s">
        <v>131</v>
      </c>
      <c r="C4" s="6" t="s">
        <v>132</v>
      </c>
      <c r="D4" s="6" t="s">
        <v>133</v>
      </c>
      <c r="E4" s="6" t="s">
        <v>134</v>
      </c>
      <c r="F4" s="7" t="s">
        <v>309</v>
      </c>
      <c r="G4" s="16" t="s">
        <v>360</v>
      </c>
    </row>
    <row r="5" spans="1:7" ht="26">
      <c r="A5" t="s">
        <v>394</v>
      </c>
      <c r="B5" s="10" t="s">
        <v>135</v>
      </c>
      <c r="C5" s="6" t="s">
        <v>136</v>
      </c>
      <c r="D5" s="6" t="s">
        <v>137</v>
      </c>
      <c r="E5" s="6" t="s">
        <v>138</v>
      </c>
      <c r="F5" s="7" t="s">
        <v>310</v>
      </c>
      <c r="G5" s="16" t="s">
        <v>311</v>
      </c>
    </row>
    <row r="6" spans="1:7">
      <c r="A6" t="s">
        <v>378</v>
      </c>
      <c r="B6" s="10" t="s">
        <v>139</v>
      </c>
      <c r="C6" s="6" t="s">
        <v>140</v>
      </c>
      <c r="D6" s="6" t="s">
        <v>141</v>
      </c>
      <c r="E6" s="6" t="s">
        <v>142</v>
      </c>
      <c r="F6" s="6" t="s">
        <v>143</v>
      </c>
      <c r="G6" s="12"/>
    </row>
    <row r="7" spans="1:7">
      <c r="A7" t="s">
        <v>365</v>
      </c>
      <c r="B7" s="10" t="s">
        <v>144</v>
      </c>
      <c r="C7" s="6" t="s">
        <v>145</v>
      </c>
      <c r="D7" s="6" t="s">
        <v>146</v>
      </c>
      <c r="E7" s="6" t="s">
        <v>147</v>
      </c>
      <c r="F7" s="6" t="s">
        <v>148</v>
      </c>
      <c r="G7" s="12" t="s">
        <v>39</v>
      </c>
    </row>
    <row r="8" spans="1:7">
      <c r="A8" t="s">
        <v>390</v>
      </c>
      <c r="B8" s="10" t="s">
        <v>149</v>
      </c>
      <c r="C8" s="6" t="s">
        <v>150</v>
      </c>
      <c r="D8" s="6" t="s">
        <v>151</v>
      </c>
      <c r="E8" s="6" t="s">
        <v>152</v>
      </c>
      <c r="F8" s="6" t="s">
        <v>195</v>
      </c>
      <c r="G8" s="12"/>
    </row>
    <row r="9" spans="1:7">
      <c r="A9" t="s">
        <v>391</v>
      </c>
      <c r="B9" s="10" t="s">
        <v>153</v>
      </c>
      <c r="C9" s="6" t="s">
        <v>154</v>
      </c>
      <c r="D9" s="6" t="s">
        <v>155</v>
      </c>
      <c r="E9" s="6" t="s">
        <v>156</v>
      </c>
      <c r="F9" s="6" t="s">
        <v>312</v>
      </c>
      <c r="G9" s="12" t="s">
        <v>71</v>
      </c>
    </row>
    <row r="10" spans="1:7" ht="39">
      <c r="A10" t="s">
        <v>387</v>
      </c>
      <c r="B10" s="10" t="s">
        <v>158</v>
      </c>
      <c r="C10" s="6" t="s">
        <v>157</v>
      </c>
      <c r="D10" s="6" t="s">
        <v>159</v>
      </c>
      <c r="E10" s="6" t="s">
        <v>160</v>
      </c>
      <c r="F10" s="7" t="s">
        <v>313</v>
      </c>
      <c r="G10" s="16" t="s">
        <v>314</v>
      </c>
    </row>
    <row r="11" spans="1:7" ht="39">
      <c r="A11" t="s">
        <v>375</v>
      </c>
      <c r="B11" s="10" t="s">
        <v>161</v>
      </c>
      <c r="C11" s="6" t="s">
        <v>162</v>
      </c>
      <c r="D11" s="6" t="s">
        <v>163</v>
      </c>
      <c r="E11" s="6" t="s">
        <v>164</v>
      </c>
      <c r="F11" s="7" t="s">
        <v>315</v>
      </c>
      <c r="G11" s="12" t="s">
        <v>316</v>
      </c>
    </row>
    <row r="12" spans="1:7">
      <c r="A12" t="s">
        <v>392</v>
      </c>
      <c r="B12" s="10" t="s">
        <v>166</v>
      </c>
      <c r="C12" s="6" t="s">
        <v>165</v>
      </c>
      <c r="D12" s="6" t="s">
        <v>167</v>
      </c>
      <c r="E12" s="6" t="s">
        <v>168</v>
      </c>
      <c r="F12" s="6" t="s">
        <v>169</v>
      </c>
      <c r="G12" s="12" t="s">
        <v>317</v>
      </c>
    </row>
    <row r="13" spans="1:7" ht="52">
      <c r="A13" t="s">
        <v>372</v>
      </c>
      <c r="B13" s="10" t="s">
        <v>170</v>
      </c>
      <c r="C13" s="6" t="s">
        <v>171</v>
      </c>
      <c r="D13" s="6" t="s">
        <v>172</v>
      </c>
      <c r="E13" s="6" t="s">
        <v>173</v>
      </c>
      <c r="F13" s="7" t="s">
        <v>318</v>
      </c>
      <c r="G13" s="16" t="s">
        <v>320</v>
      </c>
    </row>
    <row r="14" spans="1:7" ht="52">
      <c r="A14" t="s">
        <v>395</v>
      </c>
      <c r="B14" s="10" t="s">
        <v>175</v>
      </c>
      <c r="C14" s="6" t="s">
        <v>174</v>
      </c>
      <c r="D14" s="6" t="s">
        <v>176</v>
      </c>
      <c r="E14" s="6" t="s">
        <v>177</v>
      </c>
      <c r="F14" s="7" t="s">
        <v>321</v>
      </c>
      <c r="G14" s="16" t="s">
        <v>334</v>
      </c>
    </row>
    <row r="15" spans="1:7" ht="26">
      <c r="A15" t="s">
        <v>400</v>
      </c>
      <c r="B15" s="10" t="s">
        <v>179</v>
      </c>
      <c r="C15" s="6" t="s">
        <v>178</v>
      </c>
      <c r="D15" s="6" t="s">
        <v>180</v>
      </c>
      <c r="E15" s="6" t="s">
        <v>147</v>
      </c>
      <c r="F15" s="7" t="s">
        <v>181</v>
      </c>
      <c r="G15" s="12" t="s">
        <v>323</v>
      </c>
    </row>
    <row r="16" spans="1:7">
      <c r="A16" t="s">
        <v>371</v>
      </c>
      <c r="B16" s="10" t="s">
        <v>183</v>
      </c>
      <c r="C16" s="6" t="s">
        <v>182</v>
      </c>
      <c r="D16" s="6" t="s">
        <v>184</v>
      </c>
      <c r="E16" s="6" t="s">
        <v>185</v>
      </c>
      <c r="F16" s="7" t="s">
        <v>186</v>
      </c>
      <c r="G16" s="12" t="s">
        <v>324</v>
      </c>
    </row>
    <row r="17" spans="1:7" ht="26">
      <c r="A17" t="s">
        <v>362</v>
      </c>
      <c r="B17" s="10" t="s">
        <v>187</v>
      </c>
      <c r="C17" s="6" t="s">
        <v>188</v>
      </c>
      <c r="D17" s="6" t="s">
        <v>189</v>
      </c>
      <c r="E17" s="6" t="s">
        <v>190</v>
      </c>
      <c r="F17" s="7" t="s">
        <v>325</v>
      </c>
      <c r="G17" s="16" t="s">
        <v>326</v>
      </c>
    </row>
    <row r="18" spans="1:7">
      <c r="A18" t="s">
        <v>403</v>
      </c>
      <c r="B18" s="10" t="s">
        <v>192</v>
      </c>
      <c r="C18" s="6" t="s">
        <v>191</v>
      </c>
      <c r="D18" s="6" t="s">
        <v>193</v>
      </c>
      <c r="E18" s="6" t="s">
        <v>194</v>
      </c>
      <c r="F18" s="7" t="s">
        <v>195</v>
      </c>
      <c r="G18" s="12"/>
    </row>
    <row r="19" spans="1:7">
      <c r="A19" t="s">
        <v>399</v>
      </c>
      <c r="B19" s="10" t="s">
        <v>196</v>
      </c>
      <c r="C19" s="6" t="s">
        <v>197</v>
      </c>
      <c r="D19" s="6" t="s">
        <v>198</v>
      </c>
      <c r="E19" s="6" t="s">
        <v>199</v>
      </c>
      <c r="F19" s="7" t="s">
        <v>195</v>
      </c>
      <c r="G19" s="12"/>
    </row>
    <row r="20" spans="1:7">
      <c r="A20" t="s">
        <v>379</v>
      </c>
      <c r="B20" s="10" t="s">
        <v>307</v>
      </c>
      <c r="C20" s="6" t="s">
        <v>200</v>
      </c>
      <c r="D20" s="6" t="s">
        <v>201</v>
      </c>
      <c r="E20" s="6" t="s">
        <v>202</v>
      </c>
      <c r="F20" s="6" t="s">
        <v>203</v>
      </c>
      <c r="G20" s="12"/>
    </row>
    <row r="21" spans="1:7">
      <c r="A21" t="s">
        <v>396</v>
      </c>
      <c r="B21" s="10" t="s">
        <v>204</v>
      </c>
      <c r="C21" s="6" t="s">
        <v>207</v>
      </c>
      <c r="D21" s="6" t="s">
        <v>205</v>
      </c>
      <c r="E21" s="6" t="s">
        <v>206</v>
      </c>
      <c r="F21" s="7" t="s">
        <v>327</v>
      </c>
      <c r="G21" s="12" t="s">
        <v>328</v>
      </c>
    </row>
    <row r="22" spans="1:7" ht="26">
      <c r="A22" t="s">
        <v>363</v>
      </c>
      <c r="B22" s="10" t="s">
        <v>209</v>
      </c>
      <c r="C22" s="6" t="s">
        <v>208</v>
      </c>
      <c r="D22" s="6" t="s">
        <v>210</v>
      </c>
      <c r="E22" s="6" t="s">
        <v>211</v>
      </c>
      <c r="F22" s="7" t="s">
        <v>329</v>
      </c>
      <c r="G22" s="12" t="s">
        <v>330</v>
      </c>
    </row>
    <row r="23" spans="1:7">
      <c r="A23" t="s">
        <v>397</v>
      </c>
      <c r="B23" s="10" t="s">
        <v>212</v>
      </c>
      <c r="C23" s="6" t="s">
        <v>213</v>
      </c>
      <c r="D23" s="6" t="s">
        <v>214</v>
      </c>
      <c r="E23" s="6" t="s">
        <v>173</v>
      </c>
      <c r="F23" s="7" t="s">
        <v>331</v>
      </c>
      <c r="G23" s="12" t="s">
        <v>332</v>
      </c>
    </row>
    <row r="24" spans="1:7" ht="26">
      <c r="A24" t="s">
        <v>381</v>
      </c>
      <c r="B24" s="10" t="s">
        <v>215</v>
      </c>
      <c r="C24" s="6" t="s">
        <v>218</v>
      </c>
      <c r="D24" s="6" t="s">
        <v>216</v>
      </c>
      <c r="E24" s="6" t="s">
        <v>217</v>
      </c>
      <c r="F24" s="7" t="s">
        <v>219</v>
      </c>
      <c r="G24" s="12" t="s">
        <v>333</v>
      </c>
    </row>
    <row r="25" spans="1:7">
      <c r="A25" t="s">
        <v>388</v>
      </c>
      <c r="B25" s="10" t="s">
        <v>221</v>
      </c>
      <c r="C25" s="6" t="s">
        <v>220</v>
      </c>
      <c r="D25" s="6" t="s">
        <v>222</v>
      </c>
      <c r="E25" s="6" t="s">
        <v>223</v>
      </c>
      <c r="F25" s="7" t="s">
        <v>224</v>
      </c>
      <c r="G25" s="12" t="s">
        <v>335</v>
      </c>
    </row>
    <row r="26" spans="1:7">
      <c r="A26" t="s">
        <v>380</v>
      </c>
      <c r="B26" s="10" t="s">
        <v>226</v>
      </c>
      <c r="C26" s="6" t="s">
        <v>225</v>
      </c>
      <c r="D26" s="6" t="s">
        <v>227</v>
      </c>
      <c r="E26" s="6" t="s">
        <v>173</v>
      </c>
      <c r="F26" s="7" t="s">
        <v>228</v>
      </c>
      <c r="G26" s="12" t="s">
        <v>336</v>
      </c>
    </row>
    <row r="27" spans="1:7">
      <c r="A27" t="s">
        <v>385</v>
      </c>
      <c r="B27" s="10" t="s">
        <v>229</v>
      </c>
      <c r="C27" s="6" t="s">
        <v>231</v>
      </c>
      <c r="D27" s="6" t="s">
        <v>230</v>
      </c>
      <c r="E27" s="6" t="s">
        <v>173</v>
      </c>
      <c r="F27" s="7" t="s">
        <v>232</v>
      </c>
      <c r="G27" s="12" t="s">
        <v>337</v>
      </c>
    </row>
    <row r="28" spans="1:7" ht="26">
      <c r="A28" t="s">
        <v>368</v>
      </c>
      <c r="B28" s="10" t="s">
        <v>234</v>
      </c>
      <c r="C28" s="6" t="s">
        <v>233</v>
      </c>
      <c r="D28" s="6" t="s">
        <v>235</v>
      </c>
      <c r="E28" s="6" t="s">
        <v>236</v>
      </c>
      <c r="F28" s="7" t="s">
        <v>237</v>
      </c>
      <c r="G28" s="12" t="s">
        <v>338</v>
      </c>
    </row>
    <row r="29" spans="1:7" ht="26">
      <c r="A29" t="s">
        <v>374</v>
      </c>
      <c r="B29" s="10" t="s">
        <v>238</v>
      </c>
      <c r="C29" s="6" t="s">
        <v>239</v>
      </c>
      <c r="D29" s="6" t="s">
        <v>240</v>
      </c>
      <c r="E29" s="6" t="s">
        <v>255</v>
      </c>
      <c r="F29" s="7" t="s">
        <v>339</v>
      </c>
      <c r="G29" s="12" t="s">
        <v>340</v>
      </c>
    </row>
    <row r="30" spans="1:7">
      <c r="A30" t="s">
        <v>367</v>
      </c>
      <c r="B30" s="10" t="s">
        <v>241</v>
      </c>
      <c r="C30" s="6" t="s">
        <v>248</v>
      </c>
      <c r="D30" s="6" t="s">
        <v>242</v>
      </c>
      <c r="E30" s="6" t="s">
        <v>243</v>
      </c>
      <c r="F30" s="7" t="s">
        <v>195</v>
      </c>
      <c r="G30" s="12"/>
    </row>
    <row r="31" spans="1:7" ht="26">
      <c r="A31" t="s">
        <v>389</v>
      </c>
      <c r="B31" s="10" t="s">
        <v>245</v>
      </c>
      <c r="C31" s="6" t="s">
        <v>244</v>
      </c>
      <c r="D31" s="6" t="s">
        <v>246</v>
      </c>
      <c r="E31" s="6" t="s">
        <v>247</v>
      </c>
      <c r="F31" s="7" t="s">
        <v>341</v>
      </c>
      <c r="G31" s="12" t="s">
        <v>342</v>
      </c>
    </row>
    <row r="32" spans="1:7" ht="52">
      <c r="A32" t="s">
        <v>370</v>
      </c>
      <c r="B32" s="10" t="s">
        <v>249</v>
      </c>
      <c r="C32" s="6" t="s">
        <v>251</v>
      </c>
      <c r="D32" s="6" t="s">
        <v>250</v>
      </c>
      <c r="E32" s="6" t="s">
        <v>173</v>
      </c>
      <c r="F32" s="7" t="s">
        <v>252</v>
      </c>
      <c r="G32" s="16" t="s">
        <v>343</v>
      </c>
    </row>
    <row r="33" spans="1:7" ht="26">
      <c r="A33" t="s">
        <v>384</v>
      </c>
      <c r="B33" s="10" t="s">
        <v>253</v>
      </c>
      <c r="C33" s="6" t="s">
        <v>257</v>
      </c>
      <c r="D33" s="6" t="s">
        <v>254</v>
      </c>
      <c r="E33" s="6" t="s">
        <v>256</v>
      </c>
      <c r="F33" s="7" t="s">
        <v>344</v>
      </c>
      <c r="G33" s="16" t="s">
        <v>345</v>
      </c>
    </row>
    <row r="34" spans="1:7">
      <c r="A34" t="s">
        <v>398</v>
      </c>
      <c r="B34" s="10" t="s">
        <v>258</v>
      </c>
      <c r="C34" s="6" t="s">
        <v>261</v>
      </c>
      <c r="D34" s="6" t="s">
        <v>259</v>
      </c>
      <c r="E34" s="6" t="s">
        <v>260</v>
      </c>
      <c r="F34" s="7" t="s">
        <v>195</v>
      </c>
      <c r="G34" s="12"/>
    </row>
    <row r="35" spans="1:7" ht="26">
      <c r="A35" t="s">
        <v>402</v>
      </c>
      <c r="B35" s="10" t="s">
        <v>262</v>
      </c>
      <c r="C35" s="6" t="s">
        <v>265</v>
      </c>
      <c r="D35" s="6" t="s">
        <v>263</v>
      </c>
      <c r="E35" s="6" t="s">
        <v>264</v>
      </c>
      <c r="F35" s="7" t="s">
        <v>346</v>
      </c>
      <c r="G35" s="12" t="s">
        <v>347</v>
      </c>
    </row>
    <row r="36" spans="1:7" ht="39">
      <c r="A36" t="s">
        <v>376</v>
      </c>
      <c r="B36" s="10" t="s">
        <v>267</v>
      </c>
      <c r="C36" s="6" t="s">
        <v>266</v>
      </c>
      <c r="D36" s="6" t="s">
        <v>268</v>
      </c>
      <c r="E36" s="6" t="s">
        <v>269</v>
      </c>
      <c r="F36" s="7" t="s">
        <v>348</v>
      </c>
      <c r="G36" s="12" t="s">
        <v>350</v>
      </c>
    </row>
    <row r="37" spans="1:7">
      <c r="A37" t="s">
        <v>401</v>
      </c>
      <c r="B37" s="10" t="s">
        <v>271</v>
      </c>
      <c r="C37" s="6" t="s">
        <v>270</v>
      </c>
      <c r="D37" s="6" t="s">
        <v>272</v>
      </c>
      <c r="E37" s="6" t="s">
        <v>273</v>
      </c>
      <c r="F37" s="7" t="s">
        <v>274</v>
      </c>
      <c r="G37" s="12"/>
    </row>
    <row r="38" spans="1:7" ht="52">
      <c r="A38" t="s">
        <v>393</v>
      </c>
      <c r="B38" s="10" t="s">
        <v>275</v>
      </c>
      <c r="C38" s="6" t="s">
        <v>277</v>
      </c>
      <c r="D38" s="6" t="s">
        <v>276</v>
      </c>
      <c r="E38" s="6" t="s">
        <v>260</v>
      </c>
      <c r="F38" s="7" t="s">
        <v>351</v>
      </c>
      <c r="G38" s="16" t="s">
        <v>353</v>
      </c>
    </row>
    <row r="39" spans="1:7" ht="52">
      <c r="A39" t="s">
        <v>369</v>
      </c>
      <c r="B39" s="10" t="s">
        <v>278</v>
      </c>
      <c r="C39" s="6" t="s">
        <v>280</v>
      </c>
      <c r="D39" s="6" t="s">
        <v>279</v>
      </c>
      <c r="E39" s="6" t="s">
        <v>173</v>
      </c>
      <c r="F39" s="7" t="s">
        <v>281</v>
      </c>
      <c r="G39" s="16" t="s">
        <v>354</v>
      </c>
    </row>
    <row r="40" spans="1:7" ht="26">
      <c r="A40" t="s">
        <v>373</v>
      </c>
      <c r="B40" s="10" t="s">
        <v>282</v>
      </c>
      <c r="C40" s="6" t="s">
        <v>285</v>
      </c>
      <c r="D40" s="6" t="s">
        <v>283</v>
      </c>
      <c r="E40" s="6" t="s">
        <v>284</v>
      </c>
      <c r="F40" s="7" t="s">
        <v>355</v>
      </c>
      <c r="G40" s="12" t="s">
        <v>357</v>
      </c>
    </row>
    <row r="41" spans="1:7" ht="26">
      <c r="A41" t="s">
        <v>382</v>
      </c>
      <c r="B41" s="10" t="s">
        <v>286</v>
      </c>
      <c r="C41" s="6" t="s">
        <v>287</v>
      </c>
      <c r="D41" s="6" t="s">
        <v>288</v>
      </c>
      <c r="E41" s="6" t="s">
        <v>243</v>
      </c>
      <c r="F41" s="7" t="s">
        <v>289</v>
      </c>
      <c r="G41" s="12" t="s">
        <v>358</v>
      </c>
    </row>
    <row r="42" spans="1:7">
      <c r="A42" t="s">
        <v>383</v>
      </c>
      <c r="B42" s="10" t="s">
        <v>290</v>
      </c>
      <c r="C42" s="6" t="s">
        <v>291</v>
      </c>
      <c r="D42" s="6" t="s">
        <v>292</v>
      </c>
      <c r="E42" s="6" t="s">
        <v>156</v>
      </c>
      <c r="F42" s="7" t="s">
        <v>195</v>
      </c>
      <c r="G42" s="12"/>
    </row>
    <row r="43" spans="1:7">
      <c r="A43" t="s">
        <v>377</v>
      </c>
      <c r="B43" s="10" t="s">
        <v>293</v>
      </c>
      <c r="C43" s="6" t="s">
        <v>296</v>
      </c>
      <c r="D43" s="6" t="s">
        <v>294</v>
      </c>
      <c r="E43" s="6" t="s">
        <v>295</v>
      </c>
      <c r="F43" s="7" t="s">
        <v>195</v>
      </c>
      <c r="G43" s="12"/>
    </row>
    <row r="44" spans="1:7" ht="26.5" thickBot="1">
      <c r="A44" t="s">
        <v>386</v>
      </c>
      <c r="B44" s="13" t="s">
        <v>297</v>
      </c>
      <c r="C44" s="14" t="s">
        <v>299</v>
      </c>
      <c r="D44" s="14" t="s">
        <v>306</v>
      </c>
      <c r="E44" s="14" t="s">
        <v>298</v>
      </c>
      <c r="F44" s="15" t="s">
        <v>300</v>
      </c>
      <c r="G44" s="17" t="s">
        <v>359</v>
      </c>
    </row>
  </sheetData>
  <mergeCells count="1">
    <mergeCell ref="A1:G1"/>
  </mergeCells>
  <phoneticPr fontId="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2"/>
  <sheetViews>
    <sheetView workbookViewId="0">
      <pane ySplit="1" topLeftCell="A2" activePane="bottomLeft" state="frozen"/>
      <selection pane="bottomLeft" activeCell="F30" sqref="F30"/>
    </sheetView>
  </sheetViews>
  <sheetFormatPr defaultColWidth="9" defaultRowHeight="16.5"/>
  <cols>
    <col min="1" max="1" width="30.58203125" style="498" customWidth="1"/>
    <col min="2" max="2" width="2.4140625" style="449" customWidth="1"/>
    <col min="3" max="3" width="30.58203125" style="444" customWidth="1"/>
    <col min="4" max="4" width="30.58203125" style="498" customWidth="1"/>
    <col min="5" max="5" width="2.4140625" style="449" customWidth="1"/>
    <col min="6" max="6" width="30.58203125" style="444" customWidth="1"/>
    <col min="7" max="7" width="9" style="444" customWidth="1"/>
    <col min="8" max="16384" width="9" style="444"/>
  </cols>
  <sheetData>
    <row r="1" spans="1:8" s="75" customFormat="1" ht="17" thickBot="1">
      <c r="A1" s="73" t="s">
        <v>2023</v>
      </c>
      <c r="B1" s="812" t="s">
        <v>2540</v>
      </c>
      <c r="C1" s="812"/>
      <c r="D1" s="73"/>
      <c r="E1" s="204"/>
      <c r="F1" s="76" t="s">
        <v>2021</v>
      </c>
      <c r="G1" s="573" t="s">
        <v>6908</v>
      </c>
      <c r="H1" s="319">
        <f>VLOOKUP(G1,Data!$A:$B,2, FALSE)</f>
        <v>1</v>
      </c>
    </row>
    <row r="2" spans="1:8" ht="21" customHeight="1" thickBot="1">
      <c r="A2" s="749" t="str">
        <f>VLOOKUP("崔斯特姆詛咒破除者", Data!$B:$D,H1, FALSE)</f>
        <v>崔斯特姆詛咒破除者</v>
      </c>
      <c r="B2" s="750"/>
      <c r="C2" s="750"/>
      <c r="D2" s="750"/>
      <c r="E2" s="750"/>
      <c r="F2" s="751"/>
    </row>
    <row r="3" spans="1:8" s="498" customFormat="1">
      <c r="A3" s="490" t="s">
        <v>2289</v>
      </c>
      <c r="B3" s="800" t="s">
        <v>2747</v>
      </c>
      <c r="C3" s="801"/>
      <c r="D3" s="499" t="s">
        <v>2289</v>
      </c>
      <c r="E3" s="800" t="s">
        <v>2575</v>
      </c>
      <c r="F3" s="811"/>
    </row>
    <row r="4" spans="1:8">
      <c r="A4" s="546" t="str">
        <f>VLOOKUP("詛咒地窖", Data!$B:$D,H1, FALSE)</f>
        <v>詛咒地窖</v>
      </c>
      <c r="B4" s="450" t="s">
        <v>1648</v>
      </c>
      <c r="C4" s="82" t="str">
        <f>VLOOKUP("旧鎮道路-潮濕的地窖", Data!$B:$D,H1, FALSE)</f>
        <v>旧鎮道路-潮濕的地窖</v>
      </c>
      <c r="D4" s="83" t="str">
        <f>VLOOKUP("詛咒烈火", Data!$B:$D,H1, FALSE)</f>
        <v>詛咒烈火</v>
      </c>
      <c r="E4" s="451" t="s">
        <v>1648</v>
      </c>
      <c r="F4" s="82" t="str">
        <f>VLOOKUP("苦痛刑牢第三層", Data!$B:$D,H1, FALSE)</f>
        <v>苦痛刑牢第三層</v>
      </c>
    </row>
    <row r="5" spans="1:8">
      <c r="A5" s="546" t="str">
        <f>VLOOKUP("詛咒林地", Data!$B:$D,H1, FALSE)</f>
        <v>詛咒林地</v>
      </c>
      <c r="B5" s="450" t="s">
        <v>1648</v>
      </c>
      <c r="C5" s="82" t="str">
        <f>VLOOKUP("悲慘之原-僻靜林地", Data!$B:$D,H1, FALSE)</f>
        <v>悲慘之原-僻靜林地</v>
      </c>
      <c r="D5" s="83" t="str">
        <f>VLOOKUP("詛咒庭院", Data!$B:$D,H1, FALSE)</f>
        <v>詛咒庭院</v>
      </c>
      <c r="E5" s="451" t="s">
        <v>1648</v>
      </c>
      <c r="F5" s="82" t="str">
        <f>VLOOKUP("大教堂第二層", Data!$B:$D,H1, FALSE)</f>
        <v>大教堂第二層</v>
      </c>
    </row>
    <row r="6" spans="1:8">
      <c r="A6" s="546" t="str">
        <f>VLOOKUP("詛咒巢穴", Data!$B:$D,H1, FALSE)</f>
        <v>詛咒巢穴</v>
      </c>
      <c r="B6" s="450" t="s">
        <v>1648</v>
      </c>
      <c r="C6" s="82" t="str">
        <f>VLOOKUP("艾瑞妮洞窟", Data!$B:$D,H1, FALSE)</f>
        <v>艾瑞妮洞窟</v>
      </c>
      <c r="D6" s="83" t="str">
        <f>VLOOKUP("詛咒骸骨之室", Data!$B:$D,H1, FALSE)</f>
        <v>詛咒骸骨之室</v>
      </c>
      <c r="E6" s="451" t="s">
        <v>1648</v>
      </c>
      <c r="F6" s="82" t="str">
        <f>VLOOKUP("大教堂第一層", Data!$B:$D,H1, FALSE)</f>
        <v>大教堂第一層</v>
      </c>
    </row>
    <row r="7" spans="1:8" ht="17" thickBot="1">
      <c r="A7" s="547" t="str">
        <f>VLOOKUP("詛咒磨坊", Data!$B:$D,H1, FALSE)</f>
        <v>詛咒磨坊</v>
      </c>
      <c r="B7" s="452" t="s">
        <v>1648</v>
      </c>
      <c r="C7" s="88" t="str">
        <f>VLOOKUP("悲慘之原", Data!$B:$D,H1, FALSE)</f>
        <v>悲慘之原</v>
      </c>
      <c r="D7" s="556" t="str">
        <f>VLOOKUP("詛咒營地", Data!$B:$D,H1, FALSE)</f>
        <v>詛咒營地</v>
      </c>
      <c r="E7" s="453" t="s">
        <v>1648</v>
      </c>
      <c r="F7" s="88" t="str">
        <f>VLOOKUP("南部高地", Data!$B:$D,H1, FALSE)</f>
        <v>南部高地</v>
      </c>
    </row>
    <row r="8" spans="1:8" ht="17" thickBot="1"/>
    <row r="9" spans="1:8" ht="23" thickBot="1">
      <c r="A9" s="749" t="str">
        <f>VLOOKUP("卡爾蒂姆詛咒破除者", Data!$B:$D,H1, FALSE)</f>
        <v>卡爾蒂姆詛咒破除者</v>
      </c>
      <c r="B9" s="750"/>
      <c r="C9" s="750"/>
      <c r="D9" s="750"/>
      <c r="E9" s="750"/>
      <c r="F9" s="751"/>
    </row>
    <row r="10" spans="1:8" s="498" customFormat="1">
      <c r="A10" s="490" t="s">
        <v>2539</v>
      </c>
      <c r="B10" s="800" t="s">
        <v>2575</v>
      </c>
      <c r="C10" s="801"/>
      <c r="D10" s="490" t="s">
        <v>2289</v>
      </c>
      <c r="E10" s="800" t="s">
        <v>2575</v>
      </c>
      <c r="F10" s="811"/>
    </row>
    <row r="11" spans="1:8">
      <c r="A11" s="548" t="str">
        <f>VLOOKUP("詛咒哨站", Data!$B:$D,H1, FALSE)</f>
        <v>詛咒哨站</v>
      </c>
      <c r="B11" s="454" t="s">
        <v>1648</v>
      </c>
      <c r="C11" s="97" t="str">
        <f>VLOOKUP("嚎泣高原", Data!$B:$D,H1, FALSE)</f>
        <v>嚎泣高原</v>
      </c>
      <c r="D11" s="557" t="str">
        <f>VLOOKUP("詛咒地洞", Data!$B:$D,H1, FALSE)</f>
        <v>詛咒地洞</v>
      </c>
      <c r="E11" s="455" t="s">
        <v>1648</v>
      </c>
      <c r="F11" s="97" t="str">
        <f>VLOOKUP("佐敦庫勒秘庫-風暴長廊", Data!$B:$D,H1, FALSE)</f>
        <v>佐敦庫勒秘庫-風暴長廊</v>
      </c>
    </row>
    <row r="12" spans="1:8">
      <c r="A12" s="548" t="str">
        <f>VLOOKUP("詛咒尖塔", Data!$B:$D,H1, FALSE)</f>
        <v>詛咒尖塔</v>
      </c>
      <c r="B12" s="454" t="s">
        <v>1648</v>
      </c>
      <c r="C12" s="97" t="str">
        <f>VLOOKUP("佐敦庫勒秘庫-未知深境", Data!$B:$D,H1, FALSE)</f>
        <v>佐敦庫勒秘庫-未知深境</v>
      </c>
      <c r="D12" s="557" t="str">
        <f>VLOOKUP("詛咒秘庫", Data!$B:$D,H1, FALSE)</f>
        <v>詛咒秘庫</v>
      </c>
      <c r="E12" s="455"/>
      <c r="F12" s="97" t="str">
        <f>VLOOKUP("淒涼沙地-刺客地庫", Data!$B:$D,H1, FALSE)</f>
        <v>淒涼沙地-刺客地庫</v>
      </c>
    </row>
    <row r="13" spans="1:8" ht="17" thickBot="1">
      <c r="A13" s="549" t="str">
        <f>VLOOKUP("詛咒城垛", Data!$B:$D,H1, FALSE)</f>
        <v>詛咒城垛</v>
      </c>
      <c r="B13" s="456" t="s">
        <v>1648</v>
      </c>
      <c r="C13" s="102" t="str">
        <f>VLOOKUP("嚎泣高原", Data!$B:$D,H1, FALSE)</f>
        <v>嚎泣高原</v>
      </c>
      <c r="D13" s="558" t="str">
        <f>VLOOKUP("詛咒淺灘", Data!$B:$D,H1, FALSE)</f>
        <v>詛咒淺灘</v>
      </c>
      <c r="E13" s="457" t="s">
        <v>1648</v>
      </c>
      <c r="F13" s="102" t="str">
        <f>VLOOKUP("達厄古綠洲-積水的洞穴第一层", Data!$B:$D,H1, FALSE)</f>
        <v>達厄古綠洲-積水的洞穴第一层</v>
      </c>
    </row>
    <row r="14" spans="1:8" ht="17" thickBot="1"/>
    <row r="15" spans="1:8" ht="23" thickBot="1">
      <c r="A15" s="749" t="str">
        <f>VLOOKUP("亞瑞特史詛咒破除者", Data!$B:$D,H1, FALSE)</f>
        <v>亞瑞特史詛咒破除者</v>
      </c>
      <c r="B15" s="750"/>
      <c r="C15" s="750"/>
      <c r="D15" s="750"/>
      <c r="E15" s="750"/>
      <c r="F15" s="751"/>
    </row>
    <row r="16" spans="1:8" s="498" customFormat="1" ht="15" customHeight="1">
      <c r="A16" s="490" t="s">
        <v>2539</v>
      </c>
      <c r="B16" s="800" t="s">
        <v>2575</v>
      </c>
      <c r="C16" s="801"/>
      <c r="D16" s="490" t="s">
        <v>2289</v>
      </c>
      <c r="E16" s="800" t="s">
        <v>2575</v>
      </c>
      <c r="F16" s="811"/>
    </row>
    <row r="17" spans="1:6">
      <c r="A17" s="550" t="str">
        <f>VLOOKUP("詛咒駐軍", Data!$B:$D,H1, FALSE)</f>
        <v>詛咒駐軍</v>
      </c>
      <c r="B17" s="458" t="s">
        <v>1648</v>
      </c>
      <c r="C17" s="218" t="str">
        <f>VLOOKUP("戰場", Data!$B:$D,H1, FALSE)</f>
        <v>戰場</v>
      </c>
      <c r="D17" s="236" t="str">
        <f>VLOOKUP("詛咒火山口", Data!$B:$D,H1, FALSE)</f>
        <v>詛咒火山口</v>
      </c>
      <c r="E17" s="459" t="s">
        <v>1648</v>
      </c>
      <c r="F17" s="218" t="str">
        <f>VLOOKUP("亞瑞特巨坑第二層", Data!$B:$D,H1, FALSE)</f>
        <v>亞瑞特巨坑第二層</v>
      </c>
    </row>
    <row r="18" spans="1:6" ht="17" thickBot="1">
      <c r="A18" s="551" t="str">
        <f>VLOOKUP("詛咒冰川", Data!$B:$D,H1, FALSE)</f>
        <v>詛咒冰川</v>
      </c>
      <c r="B18" s="460" t="s">
        <v>1648</v>
      </c>
      <c r="C18" s="222" t="str">
        <f>VLOOKUP("殺戮戰場-落冰洞穴第一層", Data!$B:$D,H1, FALSE)</f>
        <v>殺戮戰場-落冰洞穴第一層</v>
      </c>
      <c r="D18" s="559" t="str">
        <f>VLOOKUP("詛咒深淵", Data!$B:$D,H1, FALSE)</f>
        <v>詛咒深淵</v>
      </c>
      <c r="E18" s="461" t="s">
        <v>1648</v>
      </c>
      <c r="F18" s="222" t="str">
        <f>VLOOKUP("要塞下層第二層", Data!$B:$D,H1, FALSE)</f>
        <v>要塞下層第二層</v>
      </c>
    </row>
    <row r="19" spans="1:6" ht="17" thickBot="1"/>
    <row r="20" spans="1:6" ht="23" thickBot="1">
      <c r="A20" s="749" t="str">
        <f>VLOOKUP("至高天史詛咒破除者", Data!$B:$D,H1, FALSE)</f>
        <v>至高天史詛咒破除者</v>
      </c>
      <c r="B20" s="750"/>
      <c r="C20" s="750"/>
      <c r="D20" s="750"/>
      <c r="E20" s="750"/>
      <c r="F20" s="751"/>
    </row>
    <row r="21" spans="1:6" s="498" customFormat="1">
      <c r="A21" s="490" t="s">
        <v>2289</v>
      </c>
      <c r="B21" s="800" t="s">
        <v>2575</v>
      </c>
      <c r="C21" s="801"/>
      <c r="D21" s="490" t="s">
        <v>2289</v>
      </c>
      <c r="E21" s="800" t="s">
        <v>2575</v>
      </c>
      <c r="F21" s="811"/>
    </row>
    <row r="22" spans="1:6" ht="24.75" customHeight="1" thickBot="1">
      <c r="A22" s="552" t="str">
        <f>VLOOKUP("詛咒禮拜堂", Data!$B:$D,H1, FALSE)</f>
        <v>詛咒禮拜堂</v>
      </c>
      <c r="B22" s="462" t="s">
        <v>1648</v>
      </c>
      <c r="C22" s="304" t="str">
        <f>VLOOKUP("銀光尖塔第二層", Data!$B:$D,H1, FALSE)</f>
        <v>銀光尖塔第二層</v>
      </c>
      <c r="D22" s="560" t="str">
        <f>VLOOKUP("被詛咒的高臺", Data!$B:$D,H1, FALSE)</f>
        <v>被詛咒的高臺</v>
      </c>
      <c r="E22" s="463" t="s">
        <v>1648</v>
      </c>
      <c r="F22" s="304" t="str">
        <f>VLOOKUP("希望園圃第一階", Data!$B:$D,H1, FALSE)</f>
        <v>希望園圃第一階</v>
      </c>
    </row>
    <row r="23" spans="1:6" ht="17" thickBot="1"/>
    <row r="24" spans="1:6" ht="23" thickBot="1">
      <c r="A24" s="749" t="str">
        <f>VLOOKUP("衛斯馬屈詛咒破除者", Data!$B:$D,H1, FALSE)</f>
        <v>衛斯馬屈詛咒破除者</v>
      </c>
      <c r="B24" s="750"/>
      <c r="C24" s="750"/>
      <c r="D24" s="750"/>
      <c r="E24" s="750"/>
      <c r="F24" s="751"/>
    </row>
    <row r="25" spans="1:6" s="498" customFormat="1">
      <c r="A25" s="490" t="s">
        <v>2289</v>
      </c>
      <c r="B25" s="800" t="s">
        <v>2575</v>
      </c>
      <c r="C25" s="801"/>
      <c r="D25" s="490" t="s">
        <v>2289</v>
      </c>
      <c r="E25" s="800" t="s">
        <v>2575</v>
      </c>
      <c r="F25" s="811"/>
    </row>
    <row r="26" spans="1:6">
      <c r="A26" s="553" t="str">
        <f>VLOOKUP("詛咒骨坑", Data!$B:$D,H1, FALSE)</f>
        <v>詛咒骨坑</v>
      </c>
      <c r="B26" s="445" t="s">
        <v>1648</v>
      </c>
      <c r="C26" s="422" t="str">
        <f>VLOOKUP("衛斯馬屈山城區-骸骨地窖第二層", Data!$B:$D,H1, FALSE)</f>
        <v>衛斯馬屈山城區-骸骨地窖第二層</v>
      </c>
      <c r="D26" s="561" t="str">
        <f>VLOOKUP("被詛咒的戰情室", Data!$B:$D,H1, FALSE)</f>
        <v>被詛咒的戰情室</v>
      </c>
      <c r="E26" s="464" t="s">
        <v>1648</v>
      </c>
      <c r="F26" s="422" t="str">
        <f>VLOOKUP("混沌界要塞第一層", Data!$B:$D,H1, FALSE)</f>
        <v>混沌界要塞第一層</v>
      </c>
    </row>
    <row r="27" spans="1:6">
      <c r="A27" s="553" t="str">
        <f>VLOOKUP("詛咒廣場", Data!$B:$D,H1, FALSE)</f>
        <v>詛咒廣場</v>
      </c>
      <c r="B27" s="445" t="s">
        <v>1648</v>
      </c>
      <c r="C27" s="422" t="str">
        <f>VLOOKUP("衛斯馬屈城中區", Data!$B:$D,H1, FALSE)</f>
        <v>衛斯馬屈城中區</v>
      </c>
      <c r="D27" s="561" t="str">
        <f>VLOOKUP("被詛咒的泥炭", Data!$B:$D,H1, FALSE)</f>
        <v>被詛咒的泥炭</v>
      </c>
      <c r="E27" s="464" t="s">
        <v>1648</v>
      </c>
      <c r="F27" s="422" t="str">
        <f>VLOOKUP("溺水沼地", Data!$B:$D,H1, FALSE)</f>
        <v>溺水沼地</v>
      </c>
    </row>
    <row r="28" spans="1:6" ht="17" thickBot="1">
      <c r="A28" s="554" t="str">
        <f>VLOOKUP("詛咒之城", Data!$B:$D,H1, FALSE)</f>
        <v>詛咒之城</v>
      </c>
      <c r="B28" s="446" t="s">
        <v>1648</v>
      </c>
      <c r="C28" s="426" t="str">
        <f>VLOOKUP("寇佛斯入口", Data!$B:$D,H1, FALSE)&amp;"(假)"</f>
        <v>寇佛斯入口(假)</v>
      </c>
      <c r="D28" s="562" t="str">
        <f>VLOOKUP("詛咒之境", Data!$B:$D,H1, FALSE)</f>
        <v>詛咒之境</v>
      </c>
      <c r="E28" s="465" t="s">
        <v>1648</v>
      </c>
      <c r="F28" s="426" t="str">
        <f>VLOOKUP("永恆戰場", Data!$B:$D,H1, FALSE)</f>
        <v>永恆戰場</v>
      </c>
    </row>
    <row r="30" spans="1:6">
      <c r="A30" s="555" t="s">
        <v>2625</v>
      </c>
    </row>
    <row r="37" ht="15" customHeight="1"/>
    <row r="42" ht="21" customHeight="1"/>
  </sheetData>
  <mergeCells count="16">
    <mergeCell ref="B25:C25"/>
    <mergeCell ref="E25:F25"/>
    <mergeCell ref="B1:C1"/>
    <mergeCell ref="B3:C3"/>
    <mergeCell ref="E3:F3"/>
    <mergeCell ref="B10:C10"/>
    <mergeCell ref="E10:F10"/>
    <mergeCell ref="B16:C16"/>
    <mergeCell ref="E16:F16"/>
    <mergeCell ref="A9:F9"/>
    <mergeCell ref="A15:F15"/>
    <mergeCell ref="A20:F20"/>
    <mergeCell ref="A24:F24"/>
    <mergeCell ref="B21:C21"/>
    <mergeCell ref="E21:F21"/>
    <mergeCell ref="A2:F2"/>
  </mergeCells>
  <phoneticPr fontId="46" type="noConversion"/>
  <dataValidations count="1">
    <dataValidation type="list" allowBlank="1" showInputMessage="1" showErrorMessage="1" sqref="G1" xr:uid="{00000000-0002-0000-1000-000000000000}">
      <formula1>"繁體中文,简体中文"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91"/>
  <sheetViews>
    <sheetView workbookViewId="0">
      <pane ySplit="1" topLeftCell="A453" activePane="bottomLeft" state="frozen"/>
      <selection pane="bottomLeft" activeCell="A479" sqref="A474:D480"/>
    </sheetView>
  </sheetViews>
  <sheetFormatPr defaultColWidth="9" defaultRowHeight="16.5"/>
  <cols>
    <col min="1" max="1" width="20.58203125" style="563" customWidth="1"/>
    <col min="2" max="2" width="15.58203125" style="75" customWidth="1"/>
    <col min="3" max="3" width="25.58203125" style="75" customWidth="1"/>
    <col min="4" max="4" width="70.58203125" style="75" customWidth="1"/>
    <col min="5" max="16384" width="9" style="75"/>
  </cols>
  <sheetData>
    <row r="1" spans="1:9" ht="17" thickBot="1">
      <c r="A1" s="73" t="s">
        <v>2023</v>
      </c>
      <c r="B1" s="168" t="s">
        <v>3925</v>
      </c>
      <c r="C1" s="76"/>
      <c r="D1" s="76" t="s">
        <v>4209</v>
      </c>
      <c r="E1" s="573" t="s">
        <v>6908</v>
      </c>
      <c r="F1" s="514" t="s">
        <v>4208</v>
      </c>
      <c r="G1" s="678" t="s">
        <v>6715</v>
      </c>
      <c r="H1" s="678" t="s">
        <v>6709</v>
      </c>
      <c r="I1" s="319">
        <f>VLOOKUP(E1,Data!$A:$B,2, FALSE)</f>
        <v>1</v>
      </c>
    </row>
    <row r="2" spans="1:9" ht="18" customHeight="1">
      <c r="A2" s="813" t="s">
        <v>3298</v>
      </c>
      <c r="B2" s="266" t="s">
        <v>4207</v>
      </c>
      <c r="C2" s="76"/>
      <c r="E2" s="319"/>
    </row>
    <row r="3" spans="1:9" ht="18" customHeight="1">
      <c r="A3" s="813"/>
      <c r="B3" s="604" t="s">
        <v>6054</v>
      </c>
      <c r="C3" s="604"/>
      <c r="D3" s="604"/>
      <c r="E3" s="604"/>
    </row>
    <row r="4" spans="1:9" ht="18" customHeight="1">
      <c r="A4" s="814"/>
      <c r="B4" s="266" t="s">
        <v>6053</v>
      </c>
      <c r="C4" s="603"/>
      <c r="D4" s="603"/>
      <c r="E4" s="603"/>
    </row>
    <row r="5" spans="1:9">
      <c r="A5" s="816" t="s">
        <v>3239</v>
      </c>
      <c r="B5" s="268" t="s">
        <v>3297</v>
      </c>
    </row>
    <row r="6" spans="1:9">
      <c r="A6" s="817"/>
      <c r="B6" s="266" t="str">
        <f>"  "&amp;VLOOKUP("海德格", Data!$B:$D,I1,FALSE)&amp;"“"&amp;VLOOKUP("新崔斯特瑞姆鎮", Data!$B:$D,I1,FALSE)&amp;"”"</f>
        <v xml:space="preserve">  海德格“新崔斯特瑞姆鎮”</v>
      </c>
    </row>
    <row r="7" spans="1:9">
      <c r="A7" s="817"/>
      <c r="B7" s="267" t="s">
        <v>3255</v>
      </c>
    </row>
    <row r="8" spans="1:9">
      <c r="A8" s="817"/>
      <c r="B8" s="266" t="s">
        <v>2817</v>
      </c>
    </row>
    <row r="9" spans="1:9">
      <c r="A9" s="817"/>
      <c r="B9" s="266" t="str">
        <f>"  "&amp;VLOOKUP("莉亞", Data!$B:$D,I1,FALSE)&amp;"“"&amp;VLOOKUP("崔斯特姆", Data!$B:$D,I1,FALSE)&amp;"”、“"&amp;VLOOKUP("愛德莉雅之死", Data!$B:$D,I1,FALSE)&amp;"”"</f>
        <v xml:space="preserve">  莉亞“崔斯特姆”、“愛德莉雅之死”</v>
      </c>
    </row>
    <row r="10" spans="1:9">
      <c r="A10" s="817"/>
      <c r="B10" s="267" t="s">
        <v>2818</v>
      </c>
    </row>
    <row r="11" spans="1:9">
      <c r="A11" s="817"/>
      <c r="B11" s="266" t="str">
        <f>"  "&amp;VLOOKUP("海德格", Data!$B:$D,I1,FALSE)&amp;"“"&amp;VLOOKUP("凱恩的下落", Data!$B:$D,I1,FALSE)&amp;"”"</f>
        <v xml:space="preserve">  海德格“凱恩的下落”</v>
      </c>
    </row>
    <row r="12" spans="1:9">
      <c r="A12" s="817"/>
      <c r="B12" s="267" t="s">
        <v>2819</v>
      </c>
    </row>
    <row r="13" spans="1:9">
      <c r="A13" s="817"/>
      <c r="B13" s="266" t="str">
        <f>"  "&amp;VLOOKUP("海德格", Data!$B:$D,I1,FALSE)&amp;"“"&amp;VLOOKUP("身心交瘁的鐵匠", Data!$B:$D,I1,FALSE)&amp;"”"</f>
        <v xml:space="preserve">  海德格“身心交瘁的鐵匠”</v>
      </c>
    </row>
    <row r="14" spans="1:9">
      <c r="A14" s="817"/>
      <c r="B14" s="266" t="s">
        <v>2817</v>
      </c>
    </row>
    <row r="15" spans="1:9">
      <c r="A15" s="817"/>
      <c r="B15" s="266" t="str">
        <f>"  "&amp;VLOOKUP("米瑞姆", Data!$B:$D,I1,FALSE)&amp;"“"&amp;VLOOKUP("谈谈你自己", Data!$B:$D,I1,FALSE)&amp;"”、“"&amp;VLOOKUP("世界的本質", Data!$B:$D,I1,FALSE)&amp;"”"</f>
        <v xml:space="preserve">  米瑞姆“谈谈你自己”、“世界的本質”</v>
      </c>
    </row>
    <row r="16" spans="1:9">
      <c r="A16" s="817"/>
      <c r="B16" s="267" t="s">
        <v>2820</v>
      </c>
    </row>
    <row r="17" spans="1:2">
      <c r="A17" s="817"/>
      <c r="B17" s="266" t="str">
        <f>"  "&amp;VLOOKUP("凱恩", Data!$B:$D,I1,FALSE)&amp;"“"&amp;VLOOKUP("你是誰", Data!$B:$D,I1,FALSE)&amp;"”、“"&amp;VLOOKUP("末日預言", Data!$B:$D,I1,FALSE)&amp;"”、“"&amp;VLOOKUP("你的養女", Data!$B:$D,I1,FALSE)&amp;"”、“"&amp;VLOOKUP("狂君李奧瑞克", Data!$B:$D,I1,FALSE)&amp;"”"</f>
        <v xml:space="preserve">  凱恩“你是誰”、“末日預言”、“你的養女”、“狂君李奧瑞克”</v>
      </c>
    </row>
    <row r="18" spans="1:2">
      <c r="A18" s="817"/>
      <c r="B18" s="266" t="str">
        <f>"  "&amp;VLOOKUP("沈老貪", Data!$B:$D,I1,FALSE)&amp;"“"&amp;VLOOKUP("談談你自己", Data!$B:$D,I1,FALSE)&amp;"”、“"&amp;VLOOKUP("無法安息的亡者", Data!$B:$D,I1,FALSE)&amp;"”、“"&amp;VLOOKUP("迪卡·凱恩", Data!$B:$D,I1,FALSE)&amp;"”、“"&amp;VLOOKUP("珠寶", Data!$B:$D,I1,FALSE)&amp;"”"</f>
        <v xml:space="preserve">  沈老貪“談談你自己”、“無法安息的亡者”、“迪卡·凱恩”、“珠寶”</v>
      </c>
    </row>
    <row r="19" spans="1:2">
      <c r="A19" s="817"/>
      <c r="B19" s="267" t="s">
        <v>2821</v>
      </c>
    </row>
    <row r="20" spans="1:2">
      <c r="A20" s="817"/>
      <c r="B20" s="266" t="str">
        <f>"  "&amp;VLOOKUP("米瑞姆", Data!$B:$D,I1,FALSE)&amp;"“"&amp;VLOOKUP("骷髏王", Data!$B:$D,I1,FALSE)&amp;"”"</f>
        <v xml:space="preserve">  米瑞姆“骷髏王”</v>
      </c>
    </row>
    <row r="21" spans="1:2">
      <c r="A21" s="817"/>
      <c r="B21" s="266" t="str">
        <f>"  "&amp;VLOOKUP("沈老貪", Data!$B:$D,I1,FALSE)&amp;"“"&amp;VLOOKUP("李奧瑞克王", Data!$B:$D,I1,FALSE)&amp;"”"</f>
        <v xml:space="preserve">  沈老貪“李奧瑞克王”</v>
      </c>
    </row>
    <row r="22" spans="1:2">
      <c r="A22" s="817"/>
      <c r="B22" s="267" t="s">
        <v>2822</v>
      </c>
    </row>
    <row r="23" spans="1:2">
      <c r="A23" s="817"/>
      <c r="B23" s="266" t="str">
        <f>"  "&amp;VLOOKUP("泰瑞爾", Data!$B:$D,I1,FALSE)&amp;"“"&amp;VLOOKUP("失去的記憶", Data!$B:$D,I1,FALSE)&amp;"”"</f>
        <v xml:space="preserve">  泰瑞爾“失去的記憶”</v>
      </c>
    </row>
    <row r="24" spans="1:2">
      <c r="A24" s="817"/>
      <c r="B24" s="266" t="str">
        <f>"  "&amp;VLOOKUP("沈老貪", Data!$B:$D,I1,FALSE)&amp;"“"&amp;VLOOKUP("隕落之星", Data!$B:$D,I1,FALSE)&amp;"”"</f>
        <v xml:space="preserve">  沈老貪“隕落之星”</v>
      </c>
    </row>
    <row r="25" spans="1:2">
      <c r="A25" s="817"/>
      <c r="B25" s="267" t="s">
        <v>2823</v>
      </c>
    </row>
    <row r="26" spans="1:2">
      <c r="A26" s="817"/>
      <c r="B26" s="266" t="str">
        <f>"  "&amp;VLOOKUP("泰瑞爾", Data!$B:$D,I1,FALSE)&amp;"“"&amp;VLOOKUP("破碎之劍", Data!$B:$D,I1,FALSE)&amp;"”"</f>
        <v xml:space="preserve">  泰瑞爾“破碎之劍”</v>
      </c>
    </row>
    <row r="27" spans="1:2">
      <c r="A27" s="817"/>
      <c r="B27" s="266" t="str">
        <f>"  "&amp;VLOOKUP("米瑞姆", Data!$B:$D,I1,FALSE)&amp;"“"&amp;VLOOKUP("艱辛的道路", Data!$B:$D,I1,FALSE)&amp;"”、“"&amp;VLOOKUP("沉沒神殿", Data!$B:$D,I1,FALSE)&amp;"”"</f>
        <v xml:space="preserve">  米瑞姆“艱辛的道路”、“沉沒神殿”</v>
      </c>
    </row>
    <row r="28" spans="1:2">
      <c r="A28" s="817"/>
      <c r="B28" s="266" t="str">
        <f>"  "&amp;VLOOKUP("沈老貪", Data!$B:$D,I1,FALSE)&amp;"“"&amp;VLOOKUP("世界", Data!$B:$D,I1,FALSE)&amp;"”"</f>
        <v xml:space="preserve">  沈老貪“世界”</v>
      </c>
    </row>
    <row r="29" spans="1:2">
      <c r="A29" s="817"/>
      <c r="B29" s="266" t="str">
        <f>"  "&amp;VLOOKUP("莉亞", Data!$B:$D,I1,FALSE)&amp;"“"&amp;VLOOKUP("與凱恩共度的日子", Data!$B:$D,I1,FALSE)&amp;"”、“"&amp;VLOOKUP("愛德莉雅", Data!$B:$D,I1,FALSE)&amp;"”"</f>
        <v xml:space="preserve">  莉亞“與凱恩共度的日子”、“愛德莉雅”</v>
      </c>
    </row>
    <row r="30" spans="1:2">
      <c r="A30" s="817"/>
      <c r="B30" s="266" t="s">
        <v>2824</v>
      </c>
    </row>
    <row r="31" spans="1:2">
      <c r="A31" s="817"/>
      <c r="B31" s="266" t="str">
        <f>"  "&amp;VLOOKUP("莉亞", Data!$B:$D,I1,FALSE)&amp;"“"&amp;VLOOKUP("莉亞的童年", Data!$B:$D,I1,FALSE)&amp;"”"</f>
        <v xml:space="preserve">  莉亞“莉亞的童年”</v>
      </c>
    </row>
    <row r="32" spans="1:2">
      <c r="A32" s="817"/>
      <c r="B32" s="266" t="s">
        <v>3299</v>
      </c>
    </row>
    <row r="33" spans="1:2">
      <c r="A33" s="817"/>
      <c r="B33" s="266" t="str">
        <f>"  "&amp;VLOOKUP("莉亞", Data!$B:$D,I1,FALSE)&amp;"“"&amp;VLOOKUP("關於沉沒神殿", Data!$B:$D,I1,FALSE)&amp;"”"</f>
        <v xml:space="preserve">  莉亞“關於沉沒神殿”</v>
      </c>
    </row>
    <row r="34" spans="1:2">
      <c r="A34" s="817"/>
      <c r="B34" s="267" t="s">
        <v>2825</v>
      </c>
    </row>
    <row r="35" spans="1:2">
      <c r="A35" s="817"/>
      <c r="B35" s="266" t="str">
        <f>"  "&amp;VLOOKUP("凱恩", Data!$B:$D,I1,FALSE)&amp;"“"&amp;VLOOKUP("赫拉迪姆", Data!$B:$D,I1,FALSE)&amp;"”、“"&amp;VLOOKUP("大天使泰瑞爾", Data!$B:$D,I1,FALSE)&amp;"”、“"&amp;VLOOKUP("真神教的起源", Data!$B:$D,I1,FALSE)&amp;"”、“"&amp;VLOOKUP("世界之石", Data!$B:$D,I1,FALSE)&amp;"”、“"&amp;VLOOKUP("世界之石的毀壞", Data!$B:$D,I1,FALSE)&amp;"”、“"&amp;VLOOKUP("莉亞與凱恩的旅行", Data!$B:$D,I1,FALSE)&amp;"”"</f>
        <v xml:space="preserve">  凱恩“赫拉迪姆”、“大天使泰瑞爾”、“真神教的起源”、“世界之石”、“世界之石的毀壞”、“莉亞與凱恩的旅行”</v>
      </c>
    </row>
    <row r="36" spans="1:2">
      <c r="A36" s="817"/>
      <c r="B36" s="266" t="s">
        <v>2817</v>
      </c>
    </row>
    <row r="37" spans="1:2">
      <c r="A37" s="817"/>
      <c r="B37" s="266" t="str">
        <f>"  "&amp;VLOOKUP("泰瑞爾", Data!$B:$D,I1,FALSE)&amp;"“"&amp;VLOOKUP("神秘的教團", Data!$B:$D,I1,FALSE)&amp;"”"</f>
        <v xml:space="preserve">  泰瑞爾“神秘的教團”</v>
      </c>
    </row>
    <row r="38" spans="1:2">
      <c r="A38" s="817"/>
      <c r="B38" s="266" t="str">
        <f>"  "&amp;VLOOKUP("米瑞姆", Data!$B:$D,I1,FALSE)&amp;"“"&amp;VLOOKUP("黑暗的景象", Data!$B:$D,I1,FALSE)&amp;"”"</f>
        <v xml:space="preserve">  米瑞姆“黑暗的景象”</v>
      </c>
    </row>
    <row r="39" spans="1:2">
      <c r="A39" s="817"/>
      <c r="B39" s="266" t="str">
        <f>"  "&amp;VLOOKUP("沈老貪", Data!$B:$D,I1,FALSE)&amp;"“"&amp;VLOOKUP("黑暗的景象", Data!$B:$D,I1,FALSE)&amp;"”"</f>
        <v xml:space="preserve">  沈老貪“黑暗的景象”</v>
      </c>
    </row>
    <row r="40" spans="1:2">
      <c r="A40" s="817"/>
      <c r="B40" s="267" t="s">
        <v>2826</v>
      </c>
    </row>
    <row r="41" spans="1:2">
      <c r="A41" s="817"/>
      <c r="B41" s="266" t="s">
        <v>2817</v>
      </c>
    </row>
    <row r="42" spans="1:2">
      <c r="A42" s="817"/>
      <c r="B42" s="266" t="str">
        <f>"  "&amp;VLOOKUP("莉亞", Data!$B:$D,I1,FALSE)&amp;"“"&amp;VLOOKUP("莉亞的力量", Data!$B:$D,I1,FALSE)&amp;"”"</f>
        <v xml:space="preserve">  莉亞“莉亞的力量”</v>
      </c>
    </row>
    <row r="43" spans="1:2">
      <c r="A43" s="817"/>
      <c r="B43" s="266" t="str">
        <f>"  "&amp;VLOOKUP("米瑞姆", Data!$B:$D,I1,FALSE)&amp;"“"&amp;VLOOKUP("凱恩之死", Data!$B:$D,I1,FALSE)&amp;"”"</f>
        <v xml:space="preserve">  米瑞姆“凱恩之死”</v>
      </c>
    </row>
    <row r="44" spans="1:2">
      <c r="A44" s="817"/>
      <c r="B44" s="266" t="str">
        <f>"  "&amp;VLOOKUP("沈老貪", Data!$B:$D,I1,FALSE)&amp;"“"&amp;VLOOKUP("哀悼", Data!$B:$D,I1,FALSE)&amp;"”"</f>
        <v xml:space="preserve">  沈老貪“哀悼”</v>
      </c>
    </row>
    <row r="45" spans="1:2">
      <c r="A45" s="817"/>
      <c r="B45" s="267" t="s">
        <v>2827</v>
      </c>
    </row>
    <row r="46" spans="1:2">
      <c r="A46" s="817"/>
      <c r="B46" s="266" t="str">
        <f>"  "&amp;VLOOKUP("米瑞姆", Data!$B:$D,I1,FALSE)&amp;"“"&amp;VLOOKUP("邪惡的魔物", Data!$B:$D,I1,FALSE)&amp;"”"</f>
        <v xml:space="preserve">  米瑞姆“邪惡的魔物”</v>
      </c>
    </row>
    <row r="47" spans="1:2">
      <c r="A47" s="817"/>
      <c r="B47" s="266" t="str">
        <f>"  "&amp;VLOOKUP("沈老貪", Data!$B:$D,I1,FALSE)&amp;"“"&amp;VLOOKUP("陌生人", Data!$B:$D,I1,FALSE)&amp;"”"</f>
        <v xml:space="preserve">  沈老貪“陌生人”</v>
      </c>
    </row>
    <row r="48" spans="1:2">
      <c r="A48" s="817"/>
      <c r="B48" s="267" t="s">
        <v>2828</v>
      </c>
    </row>
    <row r="49" spans="1:2">
      <c r="A49" s="817"/>
      <c r="B49" s="266" t="s">
        <v>3257</v>
      </c>
    </row>
    <row r="50" spans="1:2">
      <c r="A50" s="817"/>
      <c r="B50" s="266" t="str">
        <f>"  "&amp;VLOOKUP("泰瑞爾", Data!$B:$D,I1,FALSE)&amp;"“"&amp;VLOOKUP("地獄之王", Data!$B:$D,I1,FALSE)&amp;"”"</f>
        <v xml:space="preserve">  泰瑞爾“地獄之王”</v>
      </c>
    </row>
    <row r="51" spans="1:2">
      <c r="A51" s="817"/>
      <c r="B51" s="266" t="str">
        <f>"  "&amp;VLOOKUP("海德格", Data!$B:$D,I1,FALSE)&amp;"“"&amp;VLOOKUP("海德格的祖父", Data!$B:$D,I1,FALSE)&amp;"”、“"&amp;VLOOKUP("米菈·埃蒙", Data!$B:$D,I1,FALSE)&amp;"”、“"&amp;VLOOKUP("海德格的父親", Data!$B:$D,I1,FALSE)&amp;"”、“"&amp;VLOOKUP("海德格父親的下落/命運", Data!$B:$D,I1,FALSE)&amp;"”"</f>
        <v xml:space="preserve">  海德格“海德格的祖父”、“米菈·埃蒙”、“海德格的父親”、“海德格父親的下落/命運”</v>
      </c>
    </row>
    <row r="52" spans="1:2">
      <c r="A52" s="817"/>
      <c r="B52" s="266" t="str">
        <f>"  "&amp;VLOOKUP("沈老貪", Data!$B:$D,I1,FALSE)&amp;"“"&amp;VLOOKUP("前方的旅程", Data!$B:$D,I1,FALSE)&amp;"”"</f>
        <v xml:space="preserve">  沈老貪“前方的旅程”</v>
      </c>
    </row>
    <row r="54" spans="1:2">
      <c r="A54" s="818" t="s">
        <v>3240</v>
      </c>
      <c r="B54" s="267" t="s">
        <v>2829</v>
      </c>
    </row>
    <row r="55" spans="1:2">
      <c r="A55" s="818"/>
      <c r="B55" s="266" t="str">
        <f>"  "&amp;VLOOKUP("米瑞姆", Data!$B:$D,I1,FALSE)&amp;"“"&amp;VLOOKUP("巫女", Data!$B:$D,I1,FALSE)&amp;"”、“"&amp;VLOOKUP("鐵匠", Data!$B:$D,I1,FALSE)&amp;"”"</f>
        <v xml:space="preserve">  米瑞姆“巫女”、“鐵匠”</v>
      </c>
    </row>
    <row r="56" spans="1:2">
      <c r="A56" s="818"/>
      <c r="B56" s="266" t="s">
        <v>3256</v>
      </c>
    </row>
    <row r="57" spans="1:2">
      <c r="A57" s="818"/>
      <c r="B57" s="266" t="str">
        <f>"  "&amp;VLOOKUP("沈老貪", Data!$B:$D,I1,FALSE)&amp;"“"&amp;VLOOKUP("酷熱的沙漠", Data!$B:$D,I1,FALSE)&amp;"”、“"&amp;VLOOKUP("神秘的傳聞", Data!$B:$D,I1,FALSE)&amp;"”、“"&amp;VLOOKUP("稀世珠寶", Data!$B:$D,I1,FALSE)&amp;"”、“"&amp;VLOOKUP("妙手賊神的傳說（誤認身份）", Data!$B:$D,I1,FALSE)&amp;"”"</f>
        <v xml:space="preserve">  沈老貪“酷熱的沙漠”、“神秘的傳聞”、“稀世珠寶”、“妙手賊神的傳說（誤認身份）”</v>
      </c>
    </row>
    <row r="58" spans="1:2">
      <c r="A58" s="818"/>
      <c r="B58" s="266" t="str">
        <f>"  "&amp;VLOOKUP("米瑞姆", Data!$B:$D,I1,FALSE)&amp;"“"&amp;VLOOKUP("憂心忡忡", Data!$B:$D,I1,FALSE)&amp;"”、“"&amp;VLOOKUP("真神教", Data!$B:$D,I1,FALSE)&amp;"”"</f>
        <v xml:space="preserve">  米瑞姆“憂心忡忡”、“真神教”</v>
      </c>
    </row>
    <row r="59" spans="1:2">
      <c r="A59" s="818"/>
      <c r="B59" s="267" t="s">
        <v>2830</v>
      </c>
    </row>
    <row r="60" spans="1:2">
      <c r="A60" s="818"/>
      <c r="B60" s="266" t="str">
        <f>"  "&amp;VLOOKUP("海德格", Data!$B:$D,I1,FALSE)&amp;"“"&amp;VLOOKUP("重返卡爾蒂姆", Data!$B:$D,I1,FALSE)&amp;"”、“"&amp;VLOOKUP("城市的變化", Data!$B:$D,I1,FALSE)&amp;"”、“"&amp;VLOOKUP("與米菈相識", Data!$B:$D,I1,FALSE)&amp;"”"</f>
        <v xml:space="preserve">  海德格“重返卡爾蒂姆”、“城市的變化”、“與米菈相識”</v>
      </c>
    </row>
    <row r="61" spans="1:2">
      <c r="A61" s="818"/>
      <c r="B61" s="266" t="str">
        <f>"  "&amp;VLOOKUP("沈老貪", Data!$B:$D,I1,FALSE)&amp;"“"&amp;VLOOKUP("卡爾蒂姆", Data!$B:$D,I1,FALSE)&amp;"”"</f>
        <v xml:space="preserve">  沈老貪“卡爾蒂姆”</v>
      </c>
    </row>
    <row r="62" spans="1:2">
      <c r="A62" s="818"/>
      <c r="B62" s="267" t="s">
        <v>3252</v>
      </c>
    </row>
    <row r="63" spans="1:2">
      <c r="A63" s="818"/>
      <c r="B63" s="266" t="str">
        <f>"  "&amp;VLOOKUP("莉亞", Data!$B:$D,I1,FALSE)&amp;"“"&amp;VLOOKUP("關於佐頓庫勒", Data!$B:$D,I1,FALSE)&amp;"”、“"&amp;VLOOKUP("緬懷凱恩", Data!$B:$D,I1,FALSE)&amp;"”"</f>
        <v xml:space="preserve">  莉亞“關於佐頓庫勒”、“緬懷凱恩”</v>
      </c>
    </row>
    <row r="64" spans="1:2">
      <c r="A64" s="818"/>
      <c r="B64" s="266" t="str">
        <f>"  "&amp;VLOOKUP("愛德莉雅", Data!$B:$D,I1,FALSE)&amp;"“"&amp;VLOOKUP("莉亞的童年", Data!$B:$D,I1,FALSE)&amp;"”、“"&amp;VLOOKUP("愛德莉雅與凱恩", Data!$B:$D,I1,FALSE)&amp;"”、“"&amp;VLOOKUP("愛德莉雅受擒", Data!$B:$D,I1,FALSE)&amp;"”、“"&amp;VLOOKUP("瘋狂的巫師", Data!$B:$D,I1,FALSE)&amp;"”、“"&amp;VLOOKUP("泰瑞爾的警告", Data!$B:$D,I1,FALSE)&amp;"”、“"&amp;VLOOKUP("使命", Data!$B:$D,I1,FALSE)&amp;"”、“"&amp;VLOOKUP("你的女兒", Data!$B:$D,I1,FALSE)&amp;"”、“"&amp;VLOOKUP("彼列與靈魂石", Data!$B:$D,I1,FALSE)&amp;"”"</f>
        <v xml:space="preserve">  愛德莉雅“莉亞的童年”、“愛德莉雅與凱恩”、“愛德莉雅受擒”、“瘋狂的巫師”、“泰瑞爾的警告”、“使命”、“你的女兒”、“彼列與靈魂石”</v>
      </c>
    </row>
    <row r="65" spans="1:2">
      <c r="A65" s="818"/>
      <c r="B65" s="266" t="str">
        <f>"  "&amp;VLOOKUP("米瑞姆",Data!$B:$D,I1,FALSE)&amp;"“"&amp;VLOOKUP("家庭",Data!$B:$D,I1,FALSE)&amp;"”、“"&amp;VLOOKUP("珠寶匠",Data!$B:$D,I1,FALSE)&amp;"”、“"&amp;VLOOKUP("封鎖城市",Data!$B:$D,I1,FALSE)&amp;"”、“"&amp;VLOOKUP("追隨者",Data!$B:$D,I1,FALSE)&amp;"”、“"&amp;VLOOKUP("愛德莉雅的目的",Data!$B:$D,I1,FALSE)&amp;"”、“"&amp;VLOOKUP("米瑞姆的擔憂",Data!$B:$D,I1,FALSE)&amp;"”"&amp;"“"&amp;VLOOKUP("佐敦庫勒",Data!$B:$D,I1,FALSE)&amp;"”"</f>
        <v xml:space="preserve">  米瑞姆“家庭”、“珠寶匠”、“封鎖城市”、“追隨者”、“愛德莉雅的目的”、“米瑞姆的擔憂”“佐敦庫勒”</v>
      </c>
    </row>
    <row r="66" spans="1:2">
      <c r="A66" s="818"/>
      <c r="B66" s="267" t="s">
        <v>2831</v>
      </c>
    </row>
    <row r="67" spans="1:2">
      <c r="A67" s="818"/>
      <c r="B67" s="266" t="str">
        <f>"  "&amp;VLOOKUP("莉亞", Data!$B:$D,I1,FALSE)&amp;"“"&amp;VLOOKUP("關於愛德莉雅", Data!$B:$D,I1,FALSE)&amp;"”"</f>
        <v xml:space="preserve">  莉亞“關於愛德莉雅”</v>
      </c>
    </row>
    <row r="68" spans="1:2">
      <c r="A68" s="818"/>
      <c r="B68" s="266" t="str">
        <f>"  "&amp;VLOOKUP("沈老貪", Data!$B:$D,I1,FALSE)&amp;"“"&amp;VLOOKUP("佐頓庫勒", Data!$B:$D,I1,FALSE)&amp;"”、“"&amp;VLOOKUP("真假傳說", Data!$B:$D,I1,FALSE)&amp;"”、“"&amp;VLOOKUP("珠寶的代價", Data!$B:$D,I1,FALSE)&amp;"”"</f>
        <v xml:space="preserve">  沈老貪“佐頓庫勒”、“真假傳說”、“珠寶的代價”</v>
      </c>
    </row>
    <row r="69" spans="1:2">
      <c r="A69" s="818"/>
      <c r="B69" s="266" t="str">
        <f>"  "&amp;VLOOKUP("米瑞姆", Data!$B:$D,I1,FALSE)&amp;"“"&amp;VLOOKUP("佐敦庫勒的背叛", Data!$B:$D,I1,FALSE)&amp;"”、“"&amp;VLOOKUP("改變未來", Data!$B:$D,I1,FALSE)&amp;"”"</f>
        <v xml:space="preserve">  米瑞姆“佐敦庫勒的背叛”、“改變未來”</v>
      </c>
    </row>
    <row r="70" spans="1:2">
      <c r="A70" s="818"/>
      <c r="B70" s="267" t="s">
        <v>2832</v>
      </c>
    </row>
    <row r="71" spans="1:2">
      <c r="A71" s="818"/>
      <c r="B71" s="266" t="str">
        <f>"  进入"&amp;VLOOKUP("佐敦庫勒秘庫", Data!$B:$D,I1,FALSE)</f>
        <v xml:space="preserve">  进入佐敦庫勒秘庫</v>
      </c>
    </row>
    <row r="72" spans="1:2">
      <c r="A72" s="818"/>
      <c r="B72" s="266" t="str">
        <f>"  "&amp;VLOOKUP("莉亞", Data!$B:$D,I1,FALSE)&amp;"“"&amp;VLOOKUP("秘庫", Data!$B:$D,I1,FALSE)&amp;"”"</f>
        <v xml:space="preserve">  莉亞“秘庫”</v>
      </c>
    </row>
    <row r="73" spans="1:2">
      <c r="A73" s="818"/>
      <c r="B73" s="267" t="s">
        <v>3253</v>
      </c>
    </row>
    <row r="74" spans="1:2">
      <c r="A74" s="818"/>
      <c r="B74" s="266" t="str">
        <f>"  "&amp;VLOOKUP("泰瑞爾", Data!$B:$D,I1,FALSE)&amp;"“"&amp;VLOOKUP("你的隕落", Data!$B:$D,I1,FALSE)&amp;"”、“"&amp;VLOOKUP("關於卡爾蒂姆", Data!$B:$D,I1,FALSE)&amp;"”、“"&amp;VLOOKUP("卡爾蒂姆的難民", Data!$B:$D,I1,FALSE)&amp;"”、“"&amp;VLOOKUP("腐化", Data!$B:$D,I1,FALSE)&amp;"”、“"&amp;VLOOKUP("亞瑞特山的毀滅", Data!$B:$D,I1,FALSE)&amp;"”、“"&amp;VLOOKUP("過去的二十年", Data!$B:$D,I1,FALSE)&amp;"”、“"&amp;VLOOKUP("佐敦庫勒之死", Data!$B:$D,I1,FALSE)&amp;"”、“"&amp;VLOOKUP("謊言之王", Data!$B:$D,I1,FALSE)&amp;"”"</f>
        <v xml:space="preserve">  泰瑞爾“你的隕落”、“關於卡爾蒂姆”、“卡爾蒂姆的難民”、“腐化”、“亞瑞特山的毀滅”、“過去的二十年”、“佐敦庫勒之死”、“謊言之王”</v>
      </c>
    </row>
    <row r="75" spans="1:2">
      <c r="A75" s="818"/>
      <c r="B75" s="266" t="str">
        <f>"  "&amp;VLOOKUP("沈老貪", Data!$B:$D,I1,FALSE)&amp;"“"&amp;VLOOKUP("黑靈魂石", Data!$B:$D,I1,FALSE)&amp;"”"</f>
        <v xml:space="preserve">  沈老貪“黑靈魂石”</v>
      </c>
    </row>
    <row r="76" spans="1:2">
      <c r="A76" s="818"/>
      <c r="B76" s="266" t="str">
        <f>"  "&amp;VLOOKUP("愛德莉雅", Data!$B:$D,I1,FALSE)&amp;"“"&amp;VLOOKUP("魔法", Data!$B:$D,I1,FALSE)&amp;"”、“"&amp;VLOOKUP("愛德莉雅的任務", Data!$B:$D,I1,FALSE)&amp;"”、“"&amp;VLOOKUP("勝利的代價", Data!$B:$D,I1,FALSE)&amp;"”、“"&amp;VLOOKUP("封印彼列", Data!$B:$D,I1,FALSE)&amp;"”"</f>
        <v xml:space="preserve">  愛德莉雅“魔法”、“愛德莉雅的任務”、“勝利的代價”、“封印彼列”</v>
      </c>
    </row>
    <row r="77" spans="1:2">
      <c r="A77" s="818"/>
      <c r="B77" s="267" t="s">
        <v>3254</v>
      </c>
    </row>
    <row r="78" spans="1:2">
      <c r="A78" s="818"/>
      <c r="B78" s="266" t="str">
        <f>"  "&amp;VLOOKUP("米瑞姆", Data!$B:$D,I1,FALSE)&amp;"“"&amp;VLOOKUP("彼列", Data!$B:$D,I1,FALSE)&amp;"”"</f>
        <v xml:space="preserve">  米瑞姆“彼列”</v>
      </c>
    </row>
    <row r="79" spans="1:2">
      <c r="A79" s="818"/>
      <c r="B79" s="266" t="s">
        <v>3280</v>
      </c>
    </row>
    <row r="80" spans="1:2">
      <c r="A80" s="818"/>
      <c r="B80" s="266" t="str">
        <f>"  "&amp;VLOOKUP("米瑞姆", Data!$B:$D,I1,FALSE)&amp;"“"&amp;VLOOKUP("擊敗彼列", Data!$B:$D,I1,FALSE)&amp;"”"</f>
        <v xml:space="preserve">  米瑞姆“擊敗彼列”</v>
      </c>
    </row>
    <row r="82" spans="1:2">
      <c r="A82" s="819" t="s">
        <v>3241</v>
      </c>
      <c r="B82" s="267" t="s">
        <v>2833</v>
      </c>
    </row>
    <row r="83" spans="1:2">
      <c r="A83" s="819"/>
      <c r="B83" s="266" t="str">
        <f>"  "&amp;VLOOKUP("泰瑞爾", Data!$B:$D,I1,FALSE)&amp;"“"&amp;VLOOKUP("逝去的機會", Data!$B:$D,I1,FALSE)&amp;"”、“"&amp;VLOOKUP("改變", Data!$B:$D,I1,FALSE)&amp;"”、“"&amp;VLOOKUP("庫勒的黑靈魂石", Data!$B:$D,I1,FALSE)&amp;"”、“"&amp;VLOOKUP("有瑕疵的靈魂石", Data!$B:$D,I1,FALSE)&amp;"”、“"&amp;VLOOKUP("人類的知識", Data!$B:$D,I1,FALSE)&amp;"”"</f>
        <v xml:space="preserve">  泰瑞爾“逝去的機會”、“改變”、“庫勒的黑靈魂石”、“有瑕疵的靈魂石”、“人類的知識”</v>
      </c>
    </row>
    <row r="84" spans="1:2">
      <c r="A84" s="819"/>
      <c r="B84" s="266" t="str">
        <f>"  "&amp;VLOOKUP("莉亞", Data!$B:$D,I1,FALSE)&amp;"“"&amp;VLOOKUP("擔憂", Data!$B:$D,I1,FALSE)&amp;"”"</f>
        <v xml:space="preserve">  莉亞“擔憂”</v>
      </c>
    </row>
    <row r="85" spans="1:2">
      <c r="A85" s="819"/>
      <c r="B85" s="266" t="str">
        <f>"  "&amp;VLOOKUP("海德格", Data!$B:$D,I1,FALSE)&amp;"“"&amp;VLOOKUP("關於米菈", Data!$B:$D,I1,FALSE)&amp;"”、“"&amp;VLOOKUP("維欽人", Data!$B:$D,I1,FALSE)&amp;"”、“"&amp;VLOOKUP("崔斯特姆（之行）", Data!$B:$D,I1,FALSE)&amp;"”、“"&amp;VLOOKUP("脫離彼列魔爪後的卡爾蒂姆", Data!$B:$D,I1,FALSE)&amp;"”、“"&amp;VLOOKUP("戍衛要塞", Data!$B:$D,I1,FALSE)&amp;"”、“"&amp;VLOOKUP("未來", Data!$B:$D,I1,FALSE)&amp;"”"</f>
        <v xml:space="preserve">  海德格“關於米菈”、“維欽人”、“崔斯特姆（之行）”、“脫離彼列魔爪後的卡爾蒂姆”、“戍衛要塞”、“未來”</v>
      </c>
    </row>
    <row r="86" spans="1:2">
      <c r="A86" s="819"/>
      <c r="B86" s="267" t="s">
        <v>2834</v>
      </c>
    </row>
    <row r="87" spans="1:2">
      <c r="A87" s="819"/>
      <c r="B87" s="266" t="s">
        <v>3256</v>
      </c>
    </row>
    <row r="88" spans="1:2">
      <c r="A88" s="819"/>
      <c r="B88" s="266" t="str">
        <f>"  "&amp;VLOOKUP("海德格", Data!$B:$D,I1,FALSE)&amp;"“"&amp;VLOOKUP("升起投石器", Data!$B:$D,I1,FALSE)&amp;"”"</f>
        <v xml:space="preserve">  海德格“升起投石器”</v>
      </c>
    </row>
    <row r="89" spans="1:2">
      <c r="A89" s="819"/>
      <c r="B89" s="267" t="s">
        <v>2835</v>
      </c>
    </row>
    <row r="90" spans="1:2">
      <c r="A90" s="819"/>
      <c r="B90" s="266" t="str">
        <f>"  "&amp;VLOOKUP("莉亞", Data!$B:$D,I1,FALSE)&amp;"“"&amp;VLOOKUP("希望", Data!$B:$D,I1,FALSE)&amp;"”、“"&amp;VLOOKUP("夢想", Data!$B:$D,I1,FALSE)&amp;"”"</f>
        <v xml:space="preserve">  莉亞“希望”、“夢想”</v>
      </c>
    </row>
    <row r="91" spans="1:2">
      <c r="A91" s="819"/>
      <c r="B91" s="266" t="str">
        <f>"  "&amp;VLOOKUP("愛德莉雅", Data!$B:$D,I1,FALSE)&amp;"“"&amp;VLOOKUP("阿茲莫丹", Data!$B:$D,I1,FALSE)&amp;"”、“"&amp;VLOOKUP("受難（受苦）", Data!$B:$D,I1,FALSE)&amp;"”"</f>
        <v xml:space="preserve">  愛德莉雅“阿茲莫丹”、“受難（受苦）”</v>
      </c>
    </row>
    <row r="92" spans="1:2">
      <c r="A92" s="819"/>
      <c r="B92" s="266" t="s">
        <v>3256</v>
      </c>
    </row>
    <row r="93" spans="1:2">
      <c r="A93" s="819"/>
      <c r="B93" s="266" t="str">
        <f>"  "&amp;VLOOKUP("米瑞姆", Data!$B:$D,I1,FALSE)&amp;"“"&amp;VLOOKUP("守護要塞", Data!$B:$D,I1,FALSE)&amp;"”"&amp;"、"&amp;"“"&amp;VLOOKUP("可憎的惡魔", Data!$B:$D,I1,FALSE)&amp;"”"&amp;"、"&amp;"“"&amp;VLOOKUP("黑暗的濁氣", Data!$B:$D,I1,FALSE)&amp;"”"</f>
        <v xml:space="preserve">  米瑞姆“守護要塞”、“可憎的惡魔”、“黑暗的濁氣”</v>
      </c>
    </row>
    <row r="94" spans="1:2">
      <c r="A94" s="819"/>
      <c r="B94" s="267" t="s">
        <v>2836</v>
      </c>
    </row>
    <row r="95" spans="1:2">
      <c r="A95" s="819"/>
      <c r="B95" s="266" t="s">
        <v>3256</v>
      </c>
    </row>
    <row r="96" spans="1:2">
      <c r="A96" s="819"/>
      <c r="B96" s="266" t="str">
        <f>"  "&amp;VLOOKUP("海德格", Data!$B:$D,I1,FALSE)&amp;"“"&amp;VLOOKUP("最終目標", Data!$B:$D,I1,FALSE)&amp;"”"</f>
        <v xml:space="preserve">  海德格“最終目標”</v>
      </c>
    </row>
    <row r="97" spans="1:2">
      <c r="A97" s="819"/>
      <c r="B97" s="266" t="str">
        <f>"  "&amp;VLOOKUP("沈老貪", Data!$B:$D,I1,FALSE)&amp;"“"&amp;VLOOKUP("寒冷的北方", Data!$B:$D,I1,FALSE)&amp;"”、“"&amp;VLOOKUP("回憶", Data!$B:$D,I1,FALSE)&amp;"”、“"&amp;VLOOKUP("回味往事", Data!$B:$D,I1,FALSE)&amp;"”、“"&amp;VLOOKUP("困難的問題", Data!$B:$D,I1,FALSE)&amp;"”"</f>
        <v xml:space="preserve">  沈老貪“寒冷的北方”、“回憶”、“回味往事”、“困難的問題”</v>
      </c>
    </row>
    <row r="98" spans="1:2">
      <c r="A98" s="819"/>
      <c r="B98" s="266" t="s">
        <v>3300</v>
      </c>
    </row>
    <row r="99" spans="1:2">
      <c r="A99" s="819"/>
      <c r="B99" s="266" t="str">
        <f>"  "&amp;VLOOKUP("泰瑞爾", Data!$B:$D,I1,FALSE)&amp;"“"&amp;VLOOKUP("熱血沸騰", Data!$B:$D,I1,FALSE)&amp;"”"&amp;"、"&amp;"“"&amp;VLOOKUP("運籌帷幄", Data!$B:$D,I1,FALSE)&amp;"”"&amp;"、"&amp;"“"&amp;VLOOKUP("鑽石之門戰役", Data!$B:$D,I1,FALSE)&amp;"”"</f>
        <v xml:space="preserve">  泰瑞爾“熱血沸騰”、“運籌帷幄”、“鑽石之門戰役”</v>
      </c>
    </row>
    <row r="100" spans="1:2">
      <c r="A100" s="819"/>
      <c r="B100" s="266" t="s">
        <v>3256</v>
      </c>
    </row>
    <row r="101" spans="1:2">
      <c r="A101" s="819"/>
      <c r="B101" s="266" t="str">
        <f>"  "&amp;VLOOKUP("泰瑞爾", Data!$B:$D,I1,FALSE)&amp;"“"&amp;VLOOKUP("永恆之戰", Data!$B:$D,I1,FALSE)&amp;"”"&amp;"、"&amp;"“"&amp;VLOOKUP("創世起源", Data!$B:$D,I1,FALSE)&amp;"”"</f>
        <v xml:space="preserve">  泰瑞爾“永恆之戰”、“創世起源”</v>
      </c>
    </row>
    <row r="102" spans="1:2">
      <c r="A102" s="819"/>
      <c r="B102" s="266" t="str">
        <f>"  "&amp;VLOOKUP("愛德莉雅", Data!$B:$D,I1,FALSE)&amp;"“"&amp;VLOOKUP("戰爭結束後", Data!$B:$D,I1,FALSE)&amp;"”"</f>
        <v xml:space="preserve">  愛德莉雅“戰爭結束後”</v>
      </c>
    </row>
    <row r="103" spans="1:2">
      <c r="A103" s="819"/>
      <c r="B103" s="266" t="str">
        <f>"  "&amp;VLOOKUP("海德格", Data!$B:$D,I1,FALSE)&amp;"“"&amp;VLOOKUP("扭轉戰局", Data!$B:$D,I1,FALSE)&amp;"”"</f>
        <v xml:space="preserve">  海德格“扭轉戰局”</v>
      </c>
    </row>
    <row r="104" spans="1:2">
      <c r="A104" s="819"/>
      <c r="B104" s="266" t="str">
        <f>"  "&amp;VLOOKUP("沈老貪", Data!$B:$D,I1,FALSE)&amp;"“"&amp;VLOOKUP("上戰場", Data!$B:$D,I1,FALSE)&amp;"”"</f>
        <v xml:space="preserve">  沈老貪“上戰場”</v>
      </c>
    </row>
    <row r="105" spans="1:2">
      <c r="A105" s="819"/>
      <c r="B105" s="267" t="s">
        <v>2837</v>
      </c>
    </row>
    <row r="106" spans="1:2">
      <c r="A106" s="819"/>
      <c r="B106" s="266" t="str">
        <f>"  "&amp;VLOOKUP("寇馬克", Data!$B:$D,I1,FALSE)&amp;" 對話1-12"</f>
        <v xml:space="preserve">  寇馬克 對話1-12</v>
      </c>
    </row>
    <row r="107" spans="1:2">
      <c r="A107" s="819"/>
      <c r="B107" s="266" t="str">
        <f>"  "&amp;VLOOKUP("海德格", Data!$B:$D,I1,FALSE)&amp;"“"&amp;VLOOKUP("緊張", Data!$B:$D,I1,FALSE)&amp;"”"</f>
        <v xml:space="preserve">  海德格“緊張”</v>
      </c>
    </row>
    <row r="108" spans="1:2">
      <c r="A108" s="819"/>
      <c r="B108" s="266" t="str">
        <f>"  "&amp;VLOOKUP("沈老貪", Data!$B:$D,I1,FALSE)&amp;"“"&amp;VLOOKUP("寶石的來歷", Data!$B:$D,I1,FALSE)&amp;"”"&amp;"、"&amp;"“"&amp;VLOOKUP("結束之後", Data!$B:$D,I1,FALSE)&amp;"”"</f>
        <v xml:space="preserve">  沈老貪“寶石的來歷”、“結束之後”</v>
      </c>
    </row>
    <row r="109" spans="1:2">
      <c r="A109" s="575"/>
      <c r="B109" s="266" t="str">
        <f>"  "&amp;VLOOKUP("米瑞姆", Data!$B:$D,I1,FALSE)&amp;"“"&amp;VLOOKUP("人生的樂趣", Data!$B:$D,I1,FALSE)&amp;"”"&amp;"、"&amp;"“"&amp;VLOOKUP("黑靈魂石", Data!$B:$D,I1,FALSE)&amp;"”"&amp;"、"&amp;"“"&amp;VLOOKUP("預言", Data!$B:$D,I1,FALSE)&amp;"”"</f>
        <v xml:space="preserve">  米瑞姆“人生的樂趣”、“黑靈魂石”、“預言”</v>
      </c>
    </row>
    <row r="111" spans="1:2">
      <c r="A111" s="820" t="s">
        <v>3242</v>
      </c>
      <c r="B111" s="267" t="s">
        <v>2838</v>
      </c>
    </row>
    <row r="112" spans="1:2">
      <c r="A112" s="820"/>
      <c r="B112" s="266" t="str">
        <f>"  进入"&amp;VLOOKUP("鑽石之門", Data!$B:$D,I1,FALSE)</f>
        <v xml:space="preserve">  进入鑽石之門</v>
      </c>
    </row>
    <row r="113" spans="1:2">
      <c r="A113" s="820"/>
      <c r="B113" s="266" t="str">
        <f>"  "&amp;VLOOKUP("泰瑞爾", Data!$B:$D,I1,FALSE)&amp;"“"&amp;VLOOKUP("天堂的隕落", Data!$B:$D,I1,FALSE)&amp;"”"&amp;"、"&amp;"“"&amp;VLOOKUP("愛德莉雅的背叛", Data!$B:$D,I1,FALSE)&amp;"”"&amp;"、"&amp;"“"&amp;VLOOKUP("黑暗流浪者", Data!$B:$D,I1,FALSE)&amp;"”"</f>
        <v xml:space="preserve">  泰瑞爾“天堂的隕落”、“愛德莉雅的背叛”、“黑暗流浪者”</v>
      </c>
    </row>
    <row r="114" spans="1:2">
      <c r="A114" s="820"/>
      <c r="B114" s="266" t="s">
        <v>2839</v>
      </c>
    </row>
    <row r="115" spans="1:2">
      <c r="A115" s="820"/>
      <c r="B115" s="266" t="str">
        <f>"  "&amp;VLOOKUP("寇馬克", Data!$B:$D,I1,FALSE)&amp;" 對話13-15"</f>
        <v xml:space="preserve">  寇馬克 對話13-15</v>
      </c>
    </row>
    <row r="116" spans="1:2">
      <c r="A116" s="820"/>
      <c r="B116" s="266" t="str">
        <f>"  "&amp;VLOOKUP("林登", Data!$B:$D,I1,FALSE)&amp;" 對話1-14"</f>
        <v xml:space="preserve">  林登 對話1-14</v>
      </c>
    </row>
    <row r="117" spans="1:2">
      <c r="A117" s="820"/>
      <c r="B117" s="266" t="str">
        <f>"  "&amp;VLOOKUP("艾蓮娜", Data!$B:$D,I1,FALSE)&amp;" 對話1-11"</f>
        <v xml:space="preserve">  艾蓮娜 對話1-11</v>
      </c>
    </row>
    <row r="118" spans="1:2">
      <c r="A118" s="820"/>
      <c r="B118" s="266" t="str">
        <f>"  "&amp;VLOOKUP("沈老貪", Data!$B:$D,I1,FALSE)&amp;"“"&amp;VLOOKUP("一波又起", Data!$B:$D,I1,FALSE)&amp;"”"&amp;"、"&amp;"“"&amp;VLOOKUP("希望", Data!$B:$D,I1,FALSE)&amp;"”"&amp;"、"&amp;"“"&amp;VLOOKUP("晦暗的日子", Data!$B:$D,I1,FALSE)&amp;"”"</f>
        <v xml:space="preserve">  沈老貪“一波又起”、“希望”、“晦暗的日子”</v>
      </c>
    </row>
    <row r="119" spans="1:2">
      <c r="A119" s="820"/>
      <c r="B119" s="267" t="s">
        <v>2840</v>
      </c>
    </row>
    <row r="120" spans="1:2">
      <c r="A120" s="820"/>
      <c r="B120" s="266" t="str">
        <f>"  "&amp;VLOOKUP("米瑞姆", Data!$B:$D,I1,FALSE)&amp;"“"&amp;VLOOKUP("米瑞姆早知道的事", Data!$B:$D,I1,FALSE)&amp;"”"&amp;"、"&amp;"“"&amp;VLOOKUP("受困的大天使", Data!$B:$D,I1,FALSE)&amp;"”"</f>
        <v xml:space="preserve">  米瑞姆“米瑞姆早知道的事”、“受困的大天使”</v>
      </c>
    </row>
    <row r="121" spans="1:2">
      <c r="A121" s="820"/>
      <c r="B121" s="267" t="s">
        <v>2841</v>
      </c>
    </row>
    <row r="122" spans="1:2">
      <c r="A122" s="820"/>
      <c r="B122" s="266" t="str">
        <f>"  "&amp;VLOOKUP("沈老貪", Data!$B:$D,I1,FALSE)&amp;"“"&amp;VLOOKUP("莉亞的靈魂", Data!$B:$D,I1,FALSE)&amp;"”"&amp;"、"&amp;"“"&amp;VLOOKUP("神或人", Data!$B:$D,I1,FALSE)&amp;"”"&amp;"、"&amp;"“"&amp;VLOOKUP("毀滅與腐敗", Data!$B:$D,I1,FALSE)&amp;"”"</f>
        <v xml:space="preserve">  沈老貪“莉亞的靈魂”、“神或人”、“毀滅與腐敗”</v>
      </c>
    </row>
    <row r="123" spans="1:2">
      <c r="A123" s="820"/>
      <c r="B123" s="266" t="str">
        <f>"  "&amp;VLOOKUP("米瑞姆", Data!$B:$D,I1,FALSE)&amp;"“"&amp;VLOOKUP("命運卷軸", Data!$B:$D,I1,FALSE)&amp;"”"</f>
        <v xml:space="preserve">  米瑞姆“命運卷軸”</v>
      </c>
    </row>
    <row r="124" spans="1:2">
      <c r="A124" s="820"/>
      <c r="B124" s="267" t="s">
        <v>2842</v>
      </c>
    </row>
    <row r="125" spans="1:2">
      <c r="A125" s="820"/>
      <c r="B125" s="266" t="str">
        <f>"  "&amp;VLOOKUP("林登", Data!$B:$D,I1,FALSE)&amp;" 對話15"</f>
        <v xml:space="preserve">  林登 對話15</v>
      </c>
    </row>
    <row r="126" spans="1:2">
      <c r="A126" s="820"/>
      <c r="B126" s="266" t="str">
        <f>"  "&amp;VLOOKUP("艾蓮娜", Data!$B:$D,I1,FALSE)&amp;" 對話12-13"</f>
        <v xml:space="preserve">  艾蓮娜 對話12-13</v>
      </c>
    </row>
    <row r="127" spans="1:2">
      <c r="A127" s="820"/>
      <c r="B127" s="266" t="str">
        <f>"  "&amp;VLOOKUP("海德格", Data!$B:$D,I1,FALSE)&amp;"“"&amp;VLOOKUP("海德格的哀傷", Data!$B:$D,I1,FALSE)&amp;"”"&amp;"、"&amp;"“"&amp;VLOOKUP("道歉", Data!$B:$D,I1,FALSE)&amp;"”"</f>
        <v xml:space="preserve">  海德格“海德格的哀傷”、“道歉”</v>
      </c>
    </row>
    <row r="128" spans="1:2">
      <c r="A128" s="820"/>
      <c r="B128" s="266" t="str">
        <f>"  "&amp;VLOOKUP("沈老貪", Data!$B:$D,I1,FALSE)&amp;"“"&amp;VLOOKUP("恐懼之王", Data!$B:$D,I1,FALSE)&amp;"”"</f>
        <v xml:space="preserve">  沈老貪“恐懼之王”</v>
      </c>
    </row>
    <row r="129" spans="1:2">
      <c r="A129" s="820"/>
      <c r="B129" s="266" t="str">
        <f>"  "&amp;VLOOKUP("米瑞姆", Data!$B:$D,I1,FALSE)&amp;"“"&amp;VLOOKUP("凡人與天使", Data!$B:$D,I1,FALSE)&amp;"”"</f>
        <v xml:space="preserve">  米瑞姆“凡人與天使”</v>
      </c>
    </row>
    <row r="130" spans="1:2">
      <c r="A130" s="820"/>
      <c r="B130" s="266" t="s">
        <v>3301</v>
      </c>
    </row>
    <row r="131" spans="1:2">
      <c r="A131" s="820"/>
      <c r="B131" s="266" t="str">
        <f>"  "&amp;VLOOKUP("泰瑞爾", Data!$B:$D,I1,FALSE)&amp;"“"&amp;VLOOKUP("至高天", Data!$B:$D,I1,FALSE)&amp;"”"&amp;"、"&amp;"“"&amp;VLOOKUP("莉亞的靈魂", Data!$B:$D,I1,FALSE)&amp;"”"&amp;"、"&amp;"“"&amp;VLOOKUP("瑪瑟爾", Data!$B:$D,I1,FALSE)&amp;"”"&amp;"、"&amp;"“"&amp;VLOOKUP("瑪瑟爾的際遇", Data!$B:$D,I1,FALSE)&amp;"”"&amp;"、"&amp;"“"&amp;VLOOKUP("萬惡之源", Data!$B:$D,I1,FALSE)&amp;"”"</f>
        <v xml:space="preserve">  泰瑞爾“至高天”、“莉亞的靈魂”、“瑪瑟爾”、“瑪瑟爾的際遇”、“萬惡之源”</v>
      </c>
    </row>
    <row r="132" spans="1:2">
      <c r="A132" s="820"/>
      <c r="B132" s="266" t="s">
        <v>3258</v>
      </c>
    </row>
    <row r="133" spans="1:2">
      <c r="A133" s="820"/>
      <c r="B133" s="266" t="str">
        <f>"  "&amp;VLOOKUP("沈老貪", Data!$B:$D,I1,FALSE)&amp;"“"&amp;VLOOKUP("勝利", Data!$B:$D,I1,FALSE)&amp;"”"</f>
        <v xml:space="preserve">  沈老貪“勝利”</v>
      </c>
    </row>
    <row r="135" spans="1:2">
      <c r="A135" s="815" t="s">
        <v>3243</v>
      </c>
      <c r="B135" s="267" t="s">
        <v>2843</v>
      </c>
    </row>
    <row r="136" spans="1:2">
      <c r="A136" s="815"/>
      <c r="B136" s="266" t="str">
        <f>"  "&amp;VLOOKUP("泰瑞爾", Data!$B:$D,I1,FALSE)&amp;"“"&amp;VLOOKUP("瑪瑟爾", Data!$B:$D,I1,FALSE)&amp;"”"&amp;"、"&amp;"“"&amp;VLOOKUP("碎片", Data!$B:$D,I1,FALSE)&amp;"”"&amp;"、"&amp;"“"&amp;VLOOKUP("靈魂石碎片", Data!$B:$D,I1,FALSE)&amp;"”"&amp;"、"&amp;"“"&amp;VLOOKUP("瑪瑟爾的奪魂者", Data!$B:$D,I1,FALSE)&amp;"”"</f>
        <v xml:space="preserve">  泰瑞爾“瑪瑟爾”、“碎片”、“靈魂石碎片”、“瑪瑟爾的奪魂者”</v>
      </c>
    </row>
    <row r="137" spans="1:2">
      <c r="A137" s="815"/>
      <c r="B137" s="267" t="s">
        <v>2844</v>
      </c>
    </row>
    <row r="138" spans="1:2">
      <c r="A138" s="815"/>
      <c r="B138" s="266" t="str">
        <f>"  "&amp;VLOOKUP("米瑞姆", Data!$B:$D,I1,FALSE)&amp;"“"&amp;VLOOKUP("厄傑爾的所在", Data!$B:$D,I1,FALSE)&amp;"”"&amp;"、"&amp;"“"&amp;VLOOKUP("更多米瑞姆的事", Data!$B:$D,I1,FALSE)&amp;"”"</f>
        <v xml:space="preserve">  米瑞姆“厄傑爾的所在”、“更多米瑞姆的事”</v>
      </c>
    </row>
    <row r="139" spans="1:2">
      <c r="A139" s="815"/>
      <c r="B139" s="266" t="str">
        <f>"  "&amp;VLOOKUP("泰瑞爾", Data!$B:$D,I1,FALSE)&amp;"“"&amp;VLOOKUP("厄傑爾", Data!$B:$D,I1,FALSE)&amp;"”"&amp;"、"&amp;"“"&amp;VLOOKUP("手下留情", Data!$B:$D,I1,FALSE)&amp;"”"&amp;"、"&amp;"“"&amp;VLOOKUP("泰瑞爾的痛楚", Data!$B:$D,I1,FALSE)&amp;"”"&amp;"、"&amp;"“"&amp;VLOOKUP("黑靈魂石", Data!$B:$D,I1,FALSE)&amp;"”"</f>
        <v xml:space="preserve">  泰瑞爾“厄傑爾”、“手下留情”、“泰瑞爾的痛楚”、“黑靈魂石”</v>
      </c>
    </row>
    <row r="140" spans="1:2">
      <c r="A140" s="815"/>
      <c r="B140" s="266" t="str">
        <f>"  "&amp;VLOOKUP("羅拉斯", Data!$B:$D,I1,FALSE)&amp;"“"&amp;VLOOKUP("赫拉迪姆兄弟會", Data!$B:$D,I1,FALSE)&amp;"”"&amp;"、"&amp;"“"&amp;VLOOKUP("擊敗迪亞布羅", Data!$B:$D,I1,FALSE)&amp;"”"&amp;"、"&amp;"“"&amp;VLOOKUP("羅拉斯的故事", Data!$B:$D,I1,FALSE)&amp;"”"&amp;"、"&amp;"“"&amp;VLOOKUP("摧毀靈魂石", Data!$B:$D,I1,FALSE)&amp;"”"&amp;"、"&amp;"“"&amp;VLOOKUP("迪卡·凱恩", Data!$B:$D,I1,FALSE)&amp;"”"</f>
        <v xml:space="preserve">  羅拉斯“赫拉迪姆兄弟會”、“擊敗迪亞布羅”、“羅拉斯的故事”、“摧毀靈魂石”、“迪卡·凱恩”</v>
      </c>
    </row>
    <row r="141" spans="1:2">
      <c r="A141" s="815"/>
      <c r="B141" s="266" t="str">
        <f>"  "&amp;VLOOKUP("托裡安將軍", Data!$B:$D,I1,FALSE)&amp;"“"&amp;VLOOKUP("加斯提安國王之死", Data!$B:$D,I1,FALSE)&amp;"”（需完成事件“"&amp;VLOOKUP("狼王的真子", Data!$B:$D,I1,FALSE)&amp;"”）、“"&amp;VLOOKUP("奮戰到底", Data!$B:$D,I1,FALSE)&amp;"”"&amp;"、"&amp;"“"&amp;VLOOKUP("救兵", Data!$B:$D,I1,FALSE)&amp;"”"</f>
        <v xml:space="preserve">  托裡安將軍“加斯提安國王之死”（需完成事件“狼王的真子”）、“奮戰到底”、“救兵”</v>
      </c>
    </row>
    <row r="142" spans="1:2">
      <c r="A142" s="815"/>
      <c r="B142" s="267" t="s">
        <v>2845</v>
      </c>
    </row>
    <row r="143" spans="1:2">
      <c r="A143" s="815"/>
      <c r="B143" s="266" t="str">
        <f>"  "&amp;VLOOKUP("米瑞姆", Data!$B:$D,I1,FALSE)&amp;"“"&amp;VLOOKUP("尋找愛德莉雅", Data!$B:$D,I1,FALSE)&amp;"”"&amp;"、"&amp;"“"&amp;VLOOKUP("故事", Data!$B:$D,I1,FALSE)&amp;"”"</f>
        <v xml:space="preserve">  米瑞姆“尋找愛德莉雅”、“故事”</v>
      </c>
    </row>
    <row r="144" spans="1:2">
      <c r="A144" s="815"/>
      <c r="B144" s="266" t="str">
        <f>"  "&amp;VLOOKUP("泰瑞爾", Data!$B:$D,I1,FALSE)&amp;"“"&amp;VLOOKUP("泰瑞爾的心情", Data!$B:$D,I1,FALSE)&amp;"”"&amp;"、"&amp;"“"&amp;VLOOKUP("天使", Data!$B:$D,I1,FALSE)&amp;"”"</f>
        <v xml:space="preserve">  泰瑞爾“泰瑞爾的心情”、“天使”</v>
      </c>
    </row>
    <row r="145" spans="1:4">
      <c r="A145" s="815"/>
      <c r="B145" s="267" t="s">
        <v>2846</v>
      </c>
    </row>
    <row r="146" spans="1:4">
      <c r="A146" s="815"/>
      <c r="B146" s="266" t="str">
        <f>"  "&amp;VLOOKUP("米瑞姆", Data!$B:$D,I1,FALSE)&amp;"“"&amp;VLOOKUP("混沌界", Data!$B:$D,I1,FALSE)&amp;"”"&amp;"、"&amp;"“"&amp;VLOOKUP("米瑞姆的驚喜", Data!$B:$D,I1,FALSE)&amp;"”"</f>
        <v xml:space="preserve">  米瑞姆“混沌界”、“米瑞姆的驚喜”</v>
      </c>
    </row>
    <row r="147" spans="1:4">
      <c r="A147" s="815"/>
      <c r="B147" s="267" t="s">
        <v>2847</v>
      </c>
    </row>
    <row r="148" spans="1:4">
      <c r="A148" s="815"/>
      <c r="B148" s="266" t="str">
        <f>"  "&amp;VLOOKUP("米瑞姆", Data!$B:$D,I1,FALSE)&amp;"“"&amp;VLOOKUP("英普瑞斯", Data!$B:$D,I1,FALSE)&amp;"”"</f>
        <v xml:space="preserve">  米瑞姆“英普瑞斯”</v>
      </c>
    </row>
    <row r="149" spans="1:4">
      <c r="A149" s="815"/>
      <c r="B149" s="267" t="s">
        <v>2848</v>
      </c>
    </row>
    <row r="150" spans="1:4">
      <c r="A150" s="815"/>
      <c r="B150" s="266" t="s">
        <v>2849</v>
      </c>
    </row>
    <row r="151" spans="1:4">
      <c r="A151" s="815"/>
      <c r="B151" s="266" t="str">
        <f>"  "&amp;VLOOKUP("泰瑞爾", Data!$B:$D,I1,FALSE)&amp;"“"&amp;VLOOKUP("混沌界", Data!$B:$D,I1,FALSE)&amp;"”"&amp;"、"&amp;"“"&amp;VLOOKUP("瑪瑟爾的失蹤", Data!$B:$D,I1,FALSE)&amp;"”"&amp;"、"&amp;"“"&amp;VLOOKUP("要塞", Data!$B:$D,I1,FALSE)&amp;"”"</f>
        <v xml:space="preserve">  泰瑞爾“混沌界”、“瑪瑟爾的失蹤”、“要塞”</v>
      </c>
    </row>
    <row r="152" spans="1:4">
      <c r="A152" s="815"/>
      <c r="B152" s="267" t="s">
        <v>2850</v>
      </c>
    </row>
    <row r="153" spans="1:4">
      <c r="A153" s="815"/>
      <c r="B153" s="266" t="s">
        <v>3296</v>
      </c>
    </row>
    <row r="154" spans="1:4">
      <c r="A154" s="815"/>
      <c r="B154" s="267" t="s">
        <v>2851</v>
      </c>
    </row>
    <row r="155" spans="1:4">
      <c r="A155" s="815"/>
      <c r="B155" s="266" t="str">
        <f>"  "&amp;VLOOKUP("海德格", Data!$B:$D,I1,FALSE)&amp;"A5全对话"</f>
        <v xml:space="preserve">  海德格A5全对话</v>
      </c>
    </row>
    <row r="156" spans="1:4">
      <c r="A156" s="815"/>
      <c r="B156" s="266" t="str">
        <f>"  "&amp;VLOOKUP("沈老貪", Data!$B:$D,I1,FALSE)&amp;"A5全对话"</f>
        <v xml:space="preserve">  沈老貪A5全对话</v>
      </c>
    </row>
    <row r="157" spans="1:4">
      <c r="A157" s="815"/>
      <c r="B157" s="266" t="str">
        <f>"  "&amp;VLOOKUP("羅拉斯", Data!$B:$D,I1,FALSE)&amp;"“"&amp;VLOOKUP("新赫拉迪姆", Data!$B:$D,I1,FALSE)&amp;"”"&amp;"、"&amp;"“"&amp;VLOOKUP("重建衛斯馬屈", Data!$B:$D,I1,FALSE)&amp;"”"&amp;"、"&amp;"“"&amp;VLOOKUP("混沌界要塞", Data!$B:$D,I1,FALSE)&amp;"”"&amp;"、"&amp;"“"&amp;VLOOKUP("混沌界", Data!$B:$D,I1,FALSE)&amp;"”"</f>
        <v xml:space="preserve">  羅拉斯“新赫拉迪姆”、“重建衛斯馬屈”、“混沌界要塞”、“混沌界”</v>
      </c>
    </row>
    <row r="158" spans="1:4">
      <c r="A158" s="815"/>
      <c r="B158" s="266" t="str">
        <f>"  进入"&amp;VLOOKUP("混沌界要塞第一層", Data!$B:$D,I1,FALSE)</f>
        <v xml:space="preserve">  进入混沌界要塞第一層</v>
      </c>
    </row>
    <row r="159" spans="1:4">
      <c r="A159" s="815"/>
      <c r="B159" s="266" t="str">
        <f>"  "&amp;VLOOKUP("泰瑞爾", Data!$B:$D,I1,FALSE)&amp;"“"&amp;VLOOKUP("混沌界要塞", Data!$B:$D,I1,FALSE)&amp;"”"</f>
        <v xml:space="preserve">  泰瑞爾“混沌界要塞”</v>
      </c>
    </row>
    <row r="160" spans="1:4" s="79" customFormat="1" ht="17" thickBot="1">
      <c r="A160" s="563"/>
      <c r="B160" s="75"/>
      <c r="C160" s="75"/>
      <c r="D160" s="75"/>
    </row>
    <row r="161" spans="1:4" s="79" customFormat="1" ht="23.25" customHeight="1" thickBot="1">
      <c r="A161" s="749" t="str">
        <f>VLOOKUP("為了騎士團", Data!$B:$D,I1,FALSE)</f>
        <v>為了騎士團</v>
      </c>
      <c r="B161" s="750"/>
      <c r="C161" s="750"/>
      <c r="D161" s="751"/>
    </row>
    <row r="162" spans="1:4" s="79" customFormat="1" ht="14.5">
      <c r="A162" s="292" t="s">
        <v>3472</v>
      </c>
      <c r="B162" s="284" t="s">
        <v>3473</v>
      </c>
      <c r="C162" s="277" t="s">
        <v>3474</v>
      </c>
      <c r="D162" s="293" t="s">
        <v>2542</v>
      </c>
    </row>
    <row r="163" spans="1:4" s="79" customFormat="1" ht="14.5">
      <c r="A163" s="564" t="str">
        <f>VLOOKUP("聖堂騎士之路", Data!$B:$D,I1,FALSE)</f>
        <v>聖堂騎士之路</v>
      </c>
      <c r="B163" s="821" t="s">
        <v>3477</v>
      </c>
      <c r="C163" s="281" t="str">
        <f>VLOOKUP("隕星", Data!$B:$D,I1,FALSE)&amp;"（1-1-1）"</f>
        <v>隕星（1-1-1）</v>
      </c>
      <c r="D163" s="82"/>
    </row>
    <row r="164" spans="1:4" s="79" customFormat="1" ht="14.5">
      <c r="A164" s="564" t="str">
        <f>VLOOKUP("前生之罪", Data!$B:$D,I1,FALSE)</f>
        <v>前生之罪</v>
      </c>
      <c r="B164" s="821"/>
      <c r="C164" s="281" t="str">
        <f>VLOOKUP("破碎的異世之劍", Data!$B:$D,I1,FALSE)&amp;"（1-6-1）"</f>
        <v>破碎的異世之劍（1-6-1）</v>
      </c>
      <c r="D164" s="82"/>
    </row>
    <row r="165" spans="1:4" s="79" customFormat="1" ht="14.5">
      <c r="A165" s="564" t="str">
        <f>VLOOKUP("入會儀式", Data!$B:$D,I1,FALSE)</f>
        <v>入會儀式</v>
      </c>
      <c r="B165" s="821"/>
      <c r="C165" s="281" t="str">
        <f>VLOOKUP("追尋真神教", Data!$B:$D,I1,FALSE)&amp;"（1-8-1）"</f>
        <v>追尋真神教（1-8-1）</v>
      </c>
      <c r="D165" s="82"/>
    </row>
    <row r="166" spans="1:4" s="79" customFormat="1" ht="14.5">
      <c r="A166" s="564" t="str">
        <f>VLOOKUP("教條規章", Data!$B:$D,I1,FALSE)</f>
        <v>教條規章</v>
      </c>
      <c r="B166" s="821"/>
      <c r="C166" s="281" t="str">
        <f>VLOOKUP("被囚禁的天使", Data!$B:$D,I1,FALSE)&amp;"（1-9-1）"</f>
        <v>被囚禁的天使（1-9-1）</v>
      </c>
      <c r="D166" s="82"/>
    </row>
    <row r="167" spans="1:4" s="79" customFormat="1" ht="14.5">
      <c r="A167" s="148" t="str">
        <f>VLOOKUP("尋求真相", Data!$B:$D,I1,FALSE)</f>
        <v>尋求真相</v>
      </c>
      <c r="B167" s="822" t="s">
        <v>3482</v>
      </c>
      <c r="C167" s="149" t="str">
        <f>VLOOKUP("沙漠之影", Data!$B:$D,I1,FALSE)&amp;"（2-1-2）"</f>
        <v>沙漠之影（2-1-2）</v>
      </c>
      <c r="D167" s="97"/>
    </row>
    <row r="168" spans="1:4" s="79" customFormat="1" ht="14.5">
      <c r="A168" s="148" t="str">
        <f>VLOOKUP("危險的日誌", Data!$B:$D,I1,FALSE)</f>
        <v>危險的日誌</v>
      </c>
      <c r="B168" s="822"/>
      <c r="C168" s="149" t="str">
        <f>VLOOKUP("往奧卡納斯的道路", Data!$B:$D,I1,FALSE)&amp;"（2-2-1）"</f>
        <v>往奧卡納斯的道路（2-2-1）</v>
      </c>
      <c r="D168" s="97"/>
    </row>
    <row r="169" spans="1:4" s="79" customFormat="1" ht="14.5">
      <c r="A169" s="148" t="str">
        <f>VLOOKUP("面對恐懼", Data!$B:$D,I1,FALSE)</f>
        <v>面對恐懼</v>
      </c>
      <c r="B169" s="822"/>
      <c r="C169" s="149" t="str">
        <f>VLOOKUP("皇室覲見", Data!$B:$D,I1,FALSE)&amp;"（2-4-1）"</f>
        <v>皇室覲見（2-4-1）</v>
      </c>
      <c r="D169" s="97"/>
    </row>
    <row r="170" spans="1:4" s="79" customFormat="1" ht="14.5">
      <c r="A170" s="148" t="str">
        <f>VLOOKUP("揭露的過往", Data!$B:$D,I1,FALSE)</f>
        <v>揭露的過往</v>
      </c>
      <c r="B170" s="822"/>
      <c r="C170" s="149" t="str">
        <f>VLOOKUP("黑靈魂石", Data!$B:$D,I1,FALSE)&amp;"（2-8-1）"</f>
        <v>黑靈魂石（2-8-1）</v>
      </c>
      <c r="D170" s="97"/>
    </row>
    <row r="171" spans="1:4" s="79" customFormat="1" ht="14.5">
      <c r="A171" s="565" t="str">
        <f>VLOOKUP("撕落的書頁", Data!$B:$D,I1,FALSE)</f>
        <v>撕落的書頁</v>
      </c>
      <c r="B171" s="823" t="s">
        <v>3487</v>
      </c>
      <c r="C171" s="280" t="str">
        <f>VLOOKUP("戍衛要塞圍困", Data!$B:$D,I1,FALSE)&amp;"（3-1-2）"</f>
        <v>戍衛要塞圍困（3-1-2）</v>
      </c>
      <c r="D171" s="218"/>
    </row>
    <row r="172" spans="1:4" s="79" customFormat="1" ht="14.5">
      <c r="A172" s="565" t="str">
        <f>VLOOKUP("聖堂騎士的研究", Data!$B:$D,I1,FALSE)</f>
        <v>聖堂騎士的研究</v>
      </c>
      <c r="B172" s="823"/>
      <c r="C172" s="280" t="str">
        <f>VLOOKUP("扭轉戰況", Data!$B:$D,I1,FALSE)&amp;"（3-2-1）"</f>
        <v>扭轉戰況（3-2-1）</v>
      </c>
      <c r="D172" s="218"/>
    </row>
    <row r="173" spans="1:4" s="79" customFormat="1" ht="14.5">
      <c r="A173" s="565" t="str">
        <f>VLOOKUP("真相", Data!$B:$D,I1,FALSE)</f>
        <v>真相</v>
      </c>
      <c r="B173" s="285" t="s">
        <v>2694</v>
      </c>
      <c r="C173" s="280" t="str">
        <f>VLOOKUP("罪惡之核", Data!$B:$D,I1,FALSE)&amp;"（3-7-1）"</f>
        <v>罪惡之核（3-7-1）</v>
      </c>
      <c r="D173" s="218"/>
    </row>
    <row r="174" spans="1:4" s="79" customFormat="1" ht="14.5">
      <c r="A174" s="565" t="str">
        <f>VLOOKUP("聖典的秘密", Data!$B:$D,I1,FALSE)</f>
        <v>聖典的秘密</v>
      </c>
      <c r="B174" s="285" t="s">
        <v>3487</v>
      </c>
      <c r="C174" s="280" t="str">
        <f>VLOOKUP("攻城器械", Data!$B:$D,I1,FALSE)&amp;"（3-5-1）"</f>
        <v>攻城器械（3-5-1）</v>
      </c>
      <c r="D174" s="218" t="str">
        <f>"听完“"&amp;VLOOKUP("真相", Data!$B:$D,I1,FALSE)&amp;"”后激活"</f>
        <v>听完“真相”后激活</v>
      </c>
    </row>
    <row r="175" spans="1:4" s="79" customFormat="1" ht="14.5">
      <c r="A175" s="566" t="str">
        <f>VLOOKUP("聖堂騎士的自白", Data!$B:$D,I1,FALSE)</f>
        <v>聖堂騎士的自白</v>
      </c>
      <c r="B175" s="824" t="s">
        <v>3492</v>
      </c>
      <c r="C175" s="282" t="str">
        <f>VLOOKUP("至高天的隕落", Data!$B:$D,I1,FALSE)&amp;"（4-1-1）"</f>
        <v>至高天的隕落（4-1-1）</v>
      </c>
      <c r="D175" s="298"/>
    </row>
    <row r="176" spans="1:4" s="79" customFormat="1" ht="14.5">
      <c r="A176" s="566" t="str">
        <f>VLOOKUP("愛德莉雅的背叛", Data!$B:$D,I1,FALSE)</f>
        <v>愛德莉雅的背叛</v>
      </c>
      <c r="B176" s="824"/>
      <c r="C176" s="282" t="str">
        <f>VLOOKUP("至高天的隕落", Data!$B:$D,I1,FALSE)&amp;"（4-1-1）"</f>
        <v>至高天的隕落（4-1-1）</v>
      </c>
      <c r="D176" s="298" t="s">
        <v>3495</v>
      </c>
    </row>
    <row r="177" spans="1:4" s="79" customFormat="1" ht="15" thickBot="1">
      <c r="A177" s="567" t="str">
        <f>VLOOKUP("真神教的秘密", Data!$B:$D,I1,FALSE)</f>
        <v>真神教的秘密</v>
      </c>
      <c r="B177" s="825"/>
      <c r="C177" s="300" t="str">
        <f>VLOOKUP("至高天的隕落", Data!$B:$D,I1,FALSE)&amp;"（4-1-1）"</f>
        <v>至高天的隕落（4-1-1）</v>
      </c>
      <c r="D177" s="301"/>
    </row>
    <row r="178" spans="1:4" s="79" customFormat="1" ht="15" thickBot="1">
      <c r="A178" s="473"/>
      <c r="B178" s="286"/>
    </row>
    <row r="179" spans="1:4" s="79" customFormat="1" ht="23" thickBot="1">
      <c r="A179" s="749" t="str">
        <f>VLOOKUP("做賊的喊抓賊", Data!$B:$D,I1,FALSE)</f>
        <v>做賊的喊抓賊</v>
      </c>
      <c r="B179" s="750"/>
      <c r="C179" s="750"/>
      <c r="D179" s="751"/>
    </row>
    <row r="180" spans="1:4" s="79" customFormat="1" ht="14.5">
      <c r="A180" s="292" t="s">
        <v>3472</v>
      </c>
      <c r="B180" s="284" t="s">
        <v>3473</v>
      </c>
      <c r="C180" s="277" t="s">
        <v>3474</v>
      </c>
      <c r="D180" s="293" t="s">
        <v>2542</v>
      </c>
    </row>
    <row r="181" spans="1:4" s="79" customFormat="1" ht="14.5">
      <c r="A181" s="564" t="str">
        <f>VLOOKUP("林登的來歷", Data!$B:$D,I1,FALSE)</f>
        <v>林登的來歷</v>
      </c>
      <c r="B181" s="821" t="s">
        <v>3477</v>
      </c>
      <c r="C181" s="281" t="str">
        <f>VLOOKUP("隕星", Data!$B:$D,I1,FALSE)&amp;"（1-1-1）"</f>
        <v>隕星（1-1-1）</v>
      </c>
      <c r="D181" s="82" t="str">
        <f>"城里对话，可获得书籍“"&amp;VLOOKUP("國王港告示", Data!$B:$D,I1,FALSE)&amp;"”"</f>
        <v>城里对话，可获得书籍“國王港告示”</v>
      </c>
    </row>
    <row r="182" spans="1:4" s="79" customFormat="1" ht="14.5">
      <c r="A182" s="564" t="str">
        <f>VLOOKUP("死性不改", Data!$B:$D,I1,FALSE)</f>
        <v>死性不改</v>
      </c>
      <c r="B182" s="821"/>
      <c r="C182" s="281" t="str">
        <f>VLOOKUP("沃薩姆的浩劫", Data!$B:$D,I1,FALSE)&amp;"（1-7-1）"</f>
        <v>沃薩姆的浩劫（1-7-1）</v>
      </c>
      <c r="D182" s="82"/>
    </row>
    <row r="183" spans="1:4" s="79" customFormat="1" ht="14.5">
      <c r="A183" s="564" t="str">
        <f>VLOOKUP("國王港的戰鬥技巧", Data!$B:$D,I1,FALSE)</f>
        <v>國王港的戰鬥技巧</v>
      </c>
      <c r="B183" s="821"/>
      <c r="C183" s="281" t="str">
        <f>VLOOKUP("追尋真神教", Data!$B:$D,I1,FALSE)&amp;"（1-8-1）"</f>
        <v>追尋真神教（1-8-1）</v>
      </c>
      <c r="D183" s="82"/>
    </row>
    <row r="184" spans="1:4" s="79" customFormat="1" ht="14.5">
      <c r="A184" s="564" t="str">
        <f>VLOOKUP("順手牽羊", Data!$B:$D,I1,FALSE)</f>
        <v>順手牽羊</v>
      </c>
      <c r="B184" s="821"/>
      <c r="C184" s="281" t="str">
        <f>VLOOKUP("被囚禁的天使", Data!$B:$D,I1,FALSE)&amp;"（1-9-1）"</f>
        <v>被囚禁的天使（1-9-1）</v>
      </c>
      <c r="D184" s="82"/>
    </row>
    <row r="185" spans="1:4" s="79" customFormat="1" ht="14.5">
      <c r="A185" s="564" t="str">
        <f>VLOOKUP("人生的選擇", Data!$B:$D,I1,FALSE)</f>
        <v>人生的選擇</v>
      </c>
      <c r="B185" s="821"/>
      <c r="C185" s="281" t="str">
        <f>VLOOKUP("返回新崔斯特姆", Data!$B:$D,I1,FALSE)&amp;"（1-10-1）"</f>
        <v>返回新崔斯特姆（1-10-1）</v>
      </c>
      <c r="D185" s="82"/>
    </row>
    <row r="186" spans="1:4" s="79" customFormat="1" ht="14.5">
      <c r="A186" s="148" t="str">
        <f>VLOOKUP("家人", Data!$B:$D,I1,FALSE)</f>
        <v>家人</v>
      </c>
      <c r="B186" s="822" t="s">
        <v>3482</v>
      </c>
      <c r="C186" s="149" t="str">
        <f>VLOOKUP("沙漠之影", Data!$B:$D,I1,FALSE)&amp;"（2-1-2）"</f>
        <v>沙漠之影（2-1-2）</v>
      </c>
      <c r="D186" s="97"/>
    </row>
    <row r="187" spans="1:4" s="79" customFormat="1" ht="14.5">
      <c r="A187" s="148" t="str">
        <f>VLOOKUP("兄弟殊途", Data!$B:$D,I1,FALSE)</f>
        <v>兄弟殊途</v>
      </c>
      <c r="B187" s="822"/>
      <c r="C187" s="149" t="str">
        <f>VLOOKUP("血之城", Data!$B:$D,I1,FALSE)&amp;"（2-3-1）"</f>
        <v>血之城（2-3-1）</v>
      </c>
      <c r="D187" s="97"/>
    </row>
    <row r="188" spans="1:4" s="79" customFormat="1" ht="14.5">
      <c r="A188" s="148" t="str">
        <f>VLOOKUP("兄長的命運", Data!$B:$D,I1,FALSE)</f>
        <v>兄長的命運</v>
      </c>
      <c r="B188" s="822"/>
      <c r="C188" s="149" t="str">
        <f>VLOOKUP("意外的盟友", Data!$B:$D,I1,FALSE)&amp;"（2-5-1）"</f>
        <v>意外的盟友（2-5-1）</v>
      </c>
      <c r="D188" s="97"/>
    </row>
    <row r="189" spans="1:4" s="79" customFormat="1" ht="14.5">
      <c r="A189" s="148" t="str">
        <f>VLOOKUP("初戀", Data!$B:$D,I1,FALSE)</f>
        <v>初戀</v>
      </c>
      <c r="B189" s="822"/>
      <c r="C189" s="149" t="str">
        <f>VLOOKUP("血染黃沙", Data!$B:$D,I1,FALSE)&amp;"（2-7-1）"</f>
        <v>血染黃沙（2-7-1）</v>
      </c>
      <c r="D189" s="97"/>
    </row>
    <row r="190" spans="1:4" s="79" customFormat="1" ht="14.5">
      <c r="A190" s="565" t="str">
        <f>VLOOKUP("手足情深", Data!$B:$D,I1,FALSE)</f>
        <v>手足情深</v>
      </c>
      <c r="B190" s="823" t="s">
        <v>3487</v>
      </c>
      <c r="C190" s="280" t="str">
        <f>VLOOKUP("罪惡之核", Data!$B:$D,I1,FALSE)&amp;"（3-7-1）"</f>
        <v>罪惡之核（3-7-1）</v>
      </c>
      <c r="D190" s="218"/>
    </row>
    <row r="191" spans="1:4" s="79" customFormat="1" ht="14.5">
      <c r="A191" s="565" t="str">
        <f>VLOOKUP("盜賊的財寶", Data!$B:$D,I1,FALSE)</f>
        <v>盜賊的財寶</v>
      </c>
      <c r="B191" s="823"/>
      <c r="C191" s="280" t="str">
        <f>VLOOKUP("靈魂石的震顫", Data!$B:$D,I1,FALSE)&amp;"（3-4-1）"</f>
        <v>靈魂石的震顫（3-4-1）</v>
      </c>
      <c r="D191" s="218"/>
    </row>
    <row r="192" spans="1:4" s="79" customFormat="1" ht="14.5">
      <c r="A192" s="566" t="str">
        <f>VLOOKUP("不樂觀的前景", Data!$B:$D,I1,FALSE)</f>
        <v>不樂觀的前景</v>
      </c>
      <c r="B192" s="287" t="s">
        <v>3492</v>
      </c>
      <c r="C192" s="282" t="str">
        <f>VLOOKUP("至高天的隕落", Data!$B:$D,I1,FALSE)&amp;"（4-1-1）"</f>
        <v>至高天的隕落（4-1-1）</v>
      </c>
      <c r="D192" s="298" t="s">
        <v>3494</v>
      </c>
    </row>
    <row r="193" spans="1:4" s="79" customFormat="1" ht="14.5">
      <c r="A193" s="565" t="str">
        <f>VLOOKUP("小偷的秘密", Data!$B:$D,I1,FALSE)</f>
        <v>小偷的秘密</v>
      </c>
      <c r="B193" s="285" t="s">
        <v>3487</v>
      </c>
      <c r="C193" s="280" t="str">
        <f>VLOOKUP("戍衛要塞圍困", Data!$B:$D,I1,FALSE)&amp;"（3-1-1）"</f>
        <v>戍衛要塞圍困（3-1-1）</v>
      </c>
      <c r="D193" s="218"/>
    </row>
    <row r="194" spans="1:4" s="79" customFormat="1" ht="14.5">
      <c r="A194" s="566" t="str">
        <f>VLOOKUP("失散的家人", Data!$B:$D,I1,FALSE)</f>
        <v>失散的家人</v>
      </c>
      <c r="B194" s="824" t="s">
        <v>3492</v>
      </c>
      <c r="C194" s="282" t="str">
        <f>VLOOKUP("至高天的隕落", Data!$B:$D,I1,FALSE)&amp;"（4-1-1）"</f>
        <v>至高天的隕落（4-1-1）</v>
      </c>
      <c r="D194" s="298"/>
    </row>
    <row r="195" spans="1:4" s="79" customFormat="1" ht="15" thickBot="1">
      <c r="A195" s="567" t="str">
        <f>VLOOKUP("最後的贈禮", Data!$B:$D,I1,FALSE)</f>
        <v>最後的贈禮</v>
      </c>
      <c r="B195" s="825"/>
      <c r="C195" s="300" t="str">
        <f>VLOOKUP("萬惡之源", Data!$B:$D,I1,FALSE)&amp;"（4-4-1）"</f>
        <v>萬惡之源（4-4-1）</v>
      </c>
      <c r="D195" s="301"/>
    </row>
    <row r="196" spans="1:4" s="79" customFormat="1" ht="15" thickBot="1">
      <c r="A196" s="473"/>
      <c r="B196" s="286"/>
    </row>
    <row r="197" spans="1:4" s="79" customFormat="1" ht="23" thickBot="1">
      <c r="A197" s="749" t="str">
        <f>VLOOKUP("世紀之謎", Data!$B:$D,I1,FALSE)</f>
        <v>世紀之謎</v>
      </c>
      <c r="B197" s="750"/>
      <c r="C197" s="750"/>
      <c r="D197" s="751"/>
    </row>
    <row r="198" spans="1:4" s="79" customFormat="1" ht="14.5">
      <c r="A198" s="292" t="s">
        <v>3472</v>
      </c>
      <c r="B198" s="284" t="s">
        <v>3473</v>
      </c>
      <c r="C198" s="277" t="s">
        <v>3474</v>
      </c>
      <c r="D198" s="293" t="s">
        <v>2542</v>
      </c>
    </row>
    <row r="199" spans="1:4" s="79" customFormat="1" ht="14.5">
      <c r="A199" s="148" t="str">
        <f>VLOOKUP("艾蓮娜的旅途", Data!$B:$D,I1,FALSE)</f>
        <v>艾蓮娜的旅途</v>
      </c>
      <c r="B199" s="288" t="s">
        <v>3482</v>
      </c>
      <c r="C199" s="149" t="str">
        <f>VLOOKUP("沙漠之影", Data!$B:$D,I1,FALSE)&amp;"（2-1-1）"</f>
        <v>沙漠之影（2-1-1）</v>
      </c>
      <c r="D199" s="97" t="str">
        <f>"城里对话，可获得书籍“"&amp;VLOOKUP("艾蓮娜的日誌", Data!$B:$D,I1,FALSE)&amp;"”"</f>
        <v>城里对话，可获得书籍“艾蓮娜的日誌”</v>
      </c>
    </row>
    <row r="200" spans="1:4" s="79" customFormat="1" ht="14.5">
      <c r="A200" s="564" t="str">
        <f>VLOOKUP("失落的年代", Data!$B:$D,I1,FALSE)</f>
        <v>失落的年代</v>
      </c>
      <c r="B200" s="289" t="s">
        <v>3477</v>
      </c>
      <c r="C200" s="281" t="str">
        <f>VLOOKUP("隕星", Data!$B:$D,I1,FALSE)&amp;"（1-1-1）"</f>
        <v>隕星（1-1-1）</v>
      </c>
      <c r="D200" s="82"/>
    </row>
    <row r="201" spans="1:4" s="79" customFormat="1" ht="14.5">
      <c r="A201" s="148" t="str">
        <f>VLOOKUP("始料未及", Data!$B:$D,I1,FALSE)</f>
        <v>始料未及</v>
      </c>
      <c r="B201" s="828" t="s">
        <v>3482</v>
      </c>
      <c r="C201" s="149" t="str">
        <f>VLOOKUP("血之城", Data!$B:$D,I1,FALSE)&amp;"（2-3-1）"</f>
        <v>血之城（2-3-1）</v>
      </c>
      <c r="D201" s="97"/>
    </row>
    <row r="202" spans="1:4" s="79" customFormat="1" ht="14.5">
      <c r="A202" s="148" t="str">
        <f>VLOOKUP("部分的你", Data!$B:$D,I1,FALSE)</f>
        <v>部分的你</v>
      </c>
      <c r="B202" s="829"/>
      <c r="C202" s="149" t="str">
        <f>VLOOKUP("意外的盟友", Data!$B:$D,I1,FALSE)&amp;"（2-5-1）"</f>
        <v>意外的盟友（2-5-1）</v>
      </c>
      <c r="D202" s="97"/>
    </row>
    <row r="203" spans="1:4" s="79" customFormat="1" ht="14.5">
      <c r="A203" s="148" t="str">
        <f>VLOOKUP("破碎的預言", Data!$B:$D,I1,FALSE)</f>
        <v>破碎的預言</v>
      </c>
      <c r="B203" s="829"/>
      <c r="C203" s="149" t="str">
        <f>VLOOKUP("血染黃沙", Data!$B:$D,I1,FALSE)&amp;"（2-7-1）"</f>
        <v>血染黃沙（2-7-1）</v>
      </c>
      <c r="D203" s="97"/>
    </row>
    <row r="204" spans="1:4" s="79" customFormat="1" ht="14.5">
      <c r="A204" s="148" t="str">
        <f>VLOOKUP("古老的秘密", Data!$B:$D,I1,FALSE)</f>
        <v>古老的秘密</v>
      </c>
      <c r="B204" s="829"/>
      <c r="C204" s="149" t="str">
        <f>VLOOKUP("黑靈魂石", Data!$B:$D,I1,FALSE)&amp;"（2-8-1）"</f>
        <v>黑靈魂石（2-8-1）</v>
      </c>
      <c r="D204" s="97"/>
    </row>
    <row r="205" spans="1:4" s="79" customFormat="1" ht="14.5">
      <c r="A205" s="148" t="str">
        <f>VLOOKUP("最初的記憶", Data!$B:$D,I1,FALSE)</f>
        <v>最初的記憶</v>
      </c>
      <c r="B205" s="830"/>
      <c r="C205" s="149" t="str">
        <f>VLOOKUP("謊言之王", Data!$B:$D,I1,FALSE)&amp;"（2-10-1）"</f>
        <v>謊言之王（2-10-1）</v>
      </c>
      <c r="D205" s="97" t="s">
        <v>3506</v>
      </c>
    </row>
    <row r="206" spans="1:4" s="79" customFormat="1" ht="14.5">
      <c r="A206" s="565" t="str">
        <f>VLOOKUP("費斯傑利大法師", Data!$B:$D,I1,FALSE)</f>
        <v>費斯傑利大法師</v>
      </c>
      <c r="B206" s="833" t="s">
        <v>3487</v>
      </c>
      <c r="C206" s="280" t="str">
        <f>VLOOKUP("戍衛要塞圍困", Data!$B:$D,I1,FALSE)&amp;"（3-1-1）"</f>
        <v>戍衛要塞圍困（3-1-1）</v>
      </c>
      <c r="D206" s="218"/>
    </row>
    <row r="207" spans="1:4" s="79" customFormat="1" ht="14.5">
      <c r="A207" s="565" t="str">
        <f>VLOOKUP("神聖的誓約", Data!$B:$D,I1,FALSE)</f>
        <v>神聖的誓約</v>
      </c>
      <c r="B207" s="834"/>
      <c r="C207" s="280" t="str">
        <f>VLOOKUP("攻城器械", Data!$B:$D,I1,FALSE)&amp;"（3-5-1）"</f>
        <v>攻城器械（3-5-1）</v>
      </c>
      <c r="D207" s="218"/>
    </row>
    <row r="208" spans="1:4" s="79" customFormat="1" ht="14.5">
      <c r="A208" s="566" t="str">
        <f>VLOOKUP("莉亞的命運", Data!$B:$D,I1,FALSE)</f>
        <v>莉亞的命運</v>
      </c>
      <c r="B208" s="835" t="s">
        <v>3492</v>
      </c>
      <c r="C208" s="838" t="str">
        <f>VLOOKUP("至高天的隕落", Data!$B:$D,I1,FALSE)&amp;"（4-1-1）"</f>
        <v>至高天的隕落（4-1-1）</v>
      </c>
      <c r="D208" s="298"/>
    </row>
    <row r="209" spans="1:4" s="79" customFormat="1" ht="14.5">
      <c r="A209" s="566" t="str">
        <f>VLOOKUP("失去的朋友", Data!$B:$D,I1,FALSE)</f>
        <v>失去的朋友</v>
      </c>
      <c r="B209" s="836"/>
      <c r="C209" s="839"/>
      <c r="D209" s="298" t="s">
        <v>3494</v>
      </c>
    </row>
    <row r="210" spans="1:4" s="79" customFormat="1" ht="14.5">
      <c r="A210" s="566" t="str">
        <f>VLOOKUP("垂死的天使", Data!$B:$D,I1,FALSE)</f>
        <v>垂死的天使</v>
      </c>
      <c r="B210" s="836"/>
      <c r="C210" s="282" t="str">
        <f>VLOOKUP("希望之光", Data!$B:$D,I1,FALSE)&amp;"（4-2-1）"</f>
        <v>希望之光（4-2-1）</v>
      </c>
      <c r="D210" s="298"/>
    </row>
    <row r="211" spans="1:4" s="79" customFormat="1" ht="15" thickBot="1">
      <c r="A211" s="567" t="str">
        <f>VLOOKUP("神秘的遺產", Data!$B:$D,I1,FALSE)</f>
        <v>神秘的遺產</v>
      </c>
      <c r="B211" s="837"/>
      <c r="C211" s="300" t="str">
        <f>VLOOKUP("尖塔之下", Data!$B:$D,I1,FALSE)&amp;"（4-3-1）"</f>
        <v>尖塔之下（4-3-1）</v>
      </c>
      <c r="D211" s="301"/>
    </row>
    <row r="212" spans="1:4" s="79" customFormat="1" ht="15" thickBot="1">
      <c r="A212" s="473"/>
      <c r="B212" s="286"/>
    </row>
    <row r="213" spans="1:4" s="79" customFormat="1" ht="23" thickBot="1">
      <c r="A213" s="749" t="str">
        <f>VLOOKUP("海德格煩得很", Data!$B:$D,I1,FALSE)</f>
        <v>海德格煩得很</v>
      </c>
      <c r="B213" s="750"/>
      <c r="C213" s="750"/>
      <c r="D213" s="751"/>
    </row>
    <row r="214" spans="1:4" s="79" customFormat="1" ht="14.5">
      <c r="A214" s="292" t="s">
        <v>3472</v>
      </c>
      <c r="B214" s="284" t="s">
        <v>3473</v>
      </c>
      <c r="C214" s="277" t="s">
        <v>3474</v>
      </c>
      <c r="D214" s="293" t="s">
        <v>2542</v>
      </c>
    </row>
    <row r="215" spans="1:4" s="79" customFormat="1" ht="14.5">
      <c r="A215" s="564" t="str">
        <f>VLOOKUP("身心交瘁的鐵匠", Data!$B:$D,I1,FALSE)</f>
        <v>身心交瘁的鐵匠</v>
      </c>
      <c r="B215" s="826" t="s">
        <v>2676</v>
      </c>
      <c r="C215" s="281" t="str">
        <f>VLOOKUP("破碎的王冠", Data!$B:$D,I1,FALSE)&amp;"（1-3-1）"</f>
        <v>破碎的王冠（1-3-1）</v>
      </c>
      <c r="D215" s="82" t="s">
        <v>3509</v>
      </c>
    </row>
    <row r="216" spans="1:4" s="79" customFormat="1" ht="14.5">
      <c r="A216" s="564" t="str">
        <f>VLOOKUP("新崔斯特瑞姆鎮", Data!$B:$D,I1,FALSE)</f>
        <v>新崔斯特瑞姆鎮</v>
      </c>
      <c r="B216" s="827"/>
      <c r="C216" s="281" t="str">
        <f>VLOOKUP("隕星", Data!$B:$D,I1,FALSE)&amp;"（1-1-2）"</f>
        <v>隕星（1-1-2）</v>
      </c>
      <c r="D216" s="82" t="s">
        <v>3510</v>
      </c>
    </row>
    <row r="217" spans="1:4" s="79" customFormat="1" ht="14.5">
      <c r="A217" s="564" t="str">
        <f>VLOOKUP("海德格的祖父", Data!$B:$D,I1,FALSE)</f>
        <v>海德格的祖父</v>
      </c>
      <c r="B217" s="289" t="s">
        <v>3477</v>
      </c>
      <c r="C217" s="281" t="str">
        <f>VLOOKUP("破碎的王冠", Data!$B:$D,I1,FALSE)&amp;"（1-3-2）"</f>
        <v>破碎的王冠（1-3-2）</v>
      </c>
      <c r="D217" s="82"/>
    </row>
    <row r="218" spans="1:4" s="79" customFormat="1" ht="14.5">
      <c r="A218" s="564" t="str">
        <f>VLOOKUP("凱恩的下落", Data!$B:$D,I1,FALSE)</f>
        <v>凱恩的下落</v>
      </c>
      <c r="B218" s="826" t="s">
        <v>2676</v>
      </c>
      <c r="C218" s="281" t="str">
        <f>VLOOKUP("凱恩生死之謎", Data!$B:$D,I1,FALSE)&amp;"（1-2-1）"</f>
        <v>凱恩生死之謎（1-2-1）</v>
      </c>
      <c r="D218" s="82" t="s">
        <v>3540</v>
      </c>
    </row>
    <row r="219" spans="1:4" s="79" customFormat="1" ht="16.5" customHeight="1">
      <c r="A219" s="564" t="str">
        <f>VLOOKUP("米菈·埃蒙", Data!$B:$D,I1,FALSE)</f>
        <v>米菈·埃蒙</v>
      </c>
      <c r="B219" s="827"/>
      <c r="C219" s="281" t="str">
        <f>VLOOKUP("黑狂君的統治", Data!$B:$D,I1,FALSE)&amp;"（1-4-1）"</f>
        <v>黑狂君的統治（1-4-1）</v>
      </c>
      <c r="D219" s="82" t="s">
        <v>3511</v>
      </c>
    </row>
    <row r="220" spans="1:4" s="79" customFormat="1" ht="16.5" customHeight="1">
      <c r="A220" s="564" t="str">
        <f>VLOOKUP("海德格的父親", Data!$B:$D,I1,FALSE)</f>
        <v>海德格的父親</v>
      </c>
      <c r="B220" s="289" t="s">
        <v>3477</v>
      </c>
      <c r="C220" s="281" t="str">
        <f>VLOOKUP("沃薩姆的浩劫", Data!$B:$D,I1,FALSE)&amp;"（1-7-1）"</f>
        <v>沃薩姆的浩劫（1-7-1）</v>
      </c>
      <c r="D220" s="82"/>
    </row>
    <row r="221" spans="1:4" s="79" customFormat="1" ht="14.5">
      <c r="A221" s="564" t="str">
        <f>VLOOKUP("海德格父親的下落/命運", Data!$B:$D,I1,FALSE)</f>
        <v>海德格父親的下落/命運</v>
      </c>
      <c r="B221" s="289" t="s">
        <v>3512</v>
      </c>
      <c r="C221" s="281" t="str">
        <f>VLOOKUP("返回新崔斯特姆", Data!$B:$D,I1,FALSE)&amp;"（1-10-1）"</f>
        <v>返回新崔斯特姆（1-10-1）</v>
      </c>
      <c r="D221" s="82" t="s">
        <v>3513</v>
      </c>
    </row>
    <row r="222" spans="1:4" s="79" customFormat="1" ht="14.5">
      <c r="A222" s="568" t="str">
        <f>VLOOKUP("重返卡爾蒂姆", Data!$B:$D,I1,FALSE)</f>
        <v>重返卡爾蒂姆</v>
      </c>
      <c r="B222" s="828" t="s">
        <v>2684</v>
      </c>
      <c r="C222" s="279" t="str">
        <f>VLOOKUP("沙漠之影", Data!$B:$D,I1,FALSE)&amp;"（2-1-1）"</f>
        <v>沙漠之影（2-1-1）</v>
      </c>
      <c r="D222" s="97" t="s">
        <v>3536</v>
      </c>
    </row>
    <row r="223" spans="1:4" s="79" customFormat="1" ht="14.5">
      <c r="A223" s="148" t="str">
        <f>VLOOKUP("城市的變化", Data!$B:$D,I1,FALSE)</f>
        <v>城市的變化</v>
      </c>
      <c r="B223" s="829"/>
      <c r="C223" s="149" t="str">
        <f>VLOOKUP("往奧卡納斯的道路", Data!$B:$D,I1,FALSE)&amp;"（2-2-1）"</f>
        <v>往奧卡納斯的道路（2-2-1）</v>
      </c>
      <c r="D223" s="831" t="s">
        <v>3514</v>
      </c>
    </row>
    <row r="224" spans="1:4" s="79" customFormat="1" ht="14.5">
      <c r="A224" s="148" t="str">
        <f>VLOOKUP("與米菈相識", Data!$B:$D,I1,FALSE)</f>
        <v>與米菈相識</v>
      </c>
      <c r="B224" s="830"/>
      <c r="C224" s="149" t="str">
        <f>VLOOKUP("皇室覲見", Data!$B:$D,I1,FALSE)&amp;"（2-4-1）"</f>
        <v>皇室覲見（2-4-1）</v>
      </c>
      <c r="D224" s="832"/>
    </row>
    <row r="225" spans="1:4" s="79" customFormat="1" ht="14.5">
      <c r="A225" s="148" t="str">
        <f>VLOOKUP("關於米菈", Data!$B:$D,I1,FALSE)</f>
        <v>關於米菈</v>
      </c>
      <c r="B225" s="828" t="s">
        <v>3482</v>
      </c>
      <c r="C225" s="149" t="str">
        <f>VLOOKUP("赫拉迪姆的背叛者", Data!$B:$D,I1,FALSE)&amp;"（2-6-1）"</f>
        <v>赫拉迪姆的背叛者（2-6-1）</v>
      </c>
      <c r="D225" s="97"/>
    </row>
    <row r="226" spans="1:4" s="79" customFormat="1" ht="14.5">
      <c r="A226" s="148" t="str">
        <f>VLOOKUP("維欽人", Data!$B:$D,I1,FALSE)</f>
        <v>維欽人</v>
      </c>
      <c r="B226" s="829"/>
      <c r="C226" s="149" t="str">
        <f>VLOOKUP("血染黃沙", Data!$B:$D,I1,FALSE)&amp;"（2-7-1）"</f>
        <v>血染黃沙（2-7-1）</v>
      </c>
      <c r="D226" s="97"/>
    </row>
    <row r="227" spans="1:4" s="79" customFormat="1" ht="14.5">
      <c r="A227" s="148" t="str">
        <f>VLOOKUP("崔斯特姆（之行）", Data!$B:$D,I1,FALSE)</f>
        <v>崔斯特姆（之行）</v>
      </c>
      <c r="B227" s="830"/>
      <c r="C227" s="149" t="str">
        <f>VLOOKUP("黑靈魂石", Data!$B:$D,I1,FALSE)&amp;"（2-8-1）"</f>
        <v>黑靈魂石（2-8-1）</v>
      </c>
      <c r="D227" s="97"/>
    </row>
    <row r="228" spans="1:4" s="79" customFormat="1" ht="14.5">
      <c r="A228" s="148" t="str">
        <f>VLOOKUP("脫離彼列魔爪後的卡爾蒂姆", Data!$B:$D,I1,FALSE)</f>
        <v>脫離彼列魔爪後的卡爾蒂姆</v>
      </c>
      <c r="B228" s="288" t="s">
        <v>3515</v>
      </c>
      <c r="C228" s="149" t="str">
        <f>VLOOKUP("謊言之王", Data!$B:$D,I1,FALSE)&amp;"（2-10-1）"</f>
        <v>謊言之王（2-10-1）</v>
      </c>
      <c r="D228" s="97" t="s">
        <v>3539</v>
      </c>
    </row>
    <row r="229" spans="1:4" s="79" customFormat="1" ht="14.5">
      <c r="A229" s="565" t="str">
        <f>VLOOKUP("未來", Data!$B:$D,I1,FALSE)</f>
        <v>未來</v>
      </c>
      <c r="B229" s="833" t="s">
        <v>2694</v>
      </c>
      <c r="C229" s="280" t="str">
        <f>VLOOKUP("戍衛要塞圍困", Data!$B:$D,I1,FALSE)&amp;"（3-1-2）"</f>
        <v>戍衛要塞圍困（3-1-2）</v>
      </c>
      <c r="D229" s="218" t="s">
        <v>3516</v>
      </c>
    </row>
    <row r="230" spans="1:4" s="79" customFormat="1" ht="14.5">
      <c r="A230" s="565" t="str">
        <f>VLOOKUP("升起投石器", Data!$B:$D,I1,FALSE)</f>
        <v>升起投石器</v>
      </c>
      <c r="B230" s="841"/>
      <c r="C230" s="280" t="str">
        <f>VLOOKUP("扭轉戰況", Data!$B:$D,I1,FALSE)&amp;"（3-2-1）"</f>
        <v>扭轉戰況（3-2-1）</v>
      </c>
      <c r="D230" s="218" t="s">
        <v>3537</v>
      </c>
    </row>
    <row r="231" spans="1:4" s="79" customFormat="1" ht="14.5">
      <c r="A231" s="565" t="str">
        <f>VLOOKUP("最終目標", Data!$B:$D,I1,FALSE)</f>
        <v>最終目標</v>
      </c>
      <c r="B231" s="841"/>
      <c r="C231" s="280" t="str">
        <f>VLOOKUP("靈魂石的震顫", Data!$B:$D,I1,FALSE)&amp;"（3-4-1）"</f>
        <v>靈魂石的震顫（3-4-1）</v>
      </c>
      <c r="D231" s="218" t="s">
        <v>3538</v>
      </c>
    </row>
    <row r="232" spans="1:4" s="79" customFormat="1" ht="14.5">
      <c r="A232" s="565" t="str">
        <f>VLOOKUP("扭轉戰局", Data!$B:$D,I1,FALSE)</f>
        <v>扭轉戰局</v>
      </c>
      <c r="B232" s="841"/>
      <c r="C232" s="280" t="str">
        <f>VLOOKUP("攻城器械", Data!$B:$D,I1,FALSE)&amp;"（3-5-1）"</f>
        <v>攻城器械（3-5-1）</v>
      </c>
      <c r="D232" s="218" t="s">
        <v>3517</v>
      </c>
    </row>
    <row r="233" spans="1:4" s="79" customFormat="1" ht="14.5">
      <c r="A233" s="565" t="str">
        <f>VLOOKUP("緊張", Data!$B:$D,I1,FALSE)</f>
        <v>緊張</v>
      </c>
      <c r="B233" s="841"/>
      <c r="C233" s="280" t="str">
        <f>VLOOKUP("攻城破壞獸", Data!$B:$D,I1,FALSE)&amp;"（3-6-1）"</f>
        <v>攻城破壞獸（3-6-1）</v>
      </c>
      <c r="D233" s="842" t="s">
        <v>3513</v>
      </c>
    </row>
    <row r="234" spans="1:4" s="79" customFormat="1" ht="14.5">
      <c r="A234" s="565" t="str">
        <f>VLOOKUP("戍衛要塞", Data!$B:$D,I1,FALSE)</f>
        <v>戍衛要塞</v>
      </c>
      <c r="B234" s="834"/>
      <c r="C234" s="280" t="str">
        <f>VLOOKUP("戍衛要塞圍困", Data!$B:$D,I1,FALSE)&amp;"（3-1-1）"</f>
        <v>戍衛要塞圍困（3-1-1）</v>
      </c>
      <c r="D234" s="842"/>
    </row>
    <row r="235" spans="1:4" s="79" customFormat="1" ht="14.5">
      <c r="A235" s="565" t="str">
        <f>VLOOKUP("海德格的哀傷", Data!$B:$D,I1,FALSE)</f>
        <v>海德格的哀傷</v>
      </c>
      <c r="B235" s="285" t="s">
        <v>3487</v>
      </c>
      <c r="C235" s="280" t="str">
        <f>VLOOKUP("罪惡之核", Data!$B:$D,I1,FALSE)&amp;"（3-7-1）"</f>
        <v>罪惡之核（3-7-1）</v>
      </c>
      <c r="D235" s="218" t="s">
        <v>3518</v>
      </c>
    </row>
    <row r="236" spans="1:4" s="79" customFormat="1" ht="15" thickBot="1">
      <c r="A236" s="567" t="str">
        <f>VLOOKUP("道歉", Data!$B:$D,I1,FALSE)</f>
        <v>道歉</v>
      </c>
      <c r="B236" s="303" t="s">
        <v>3492</v>
      </c>
      <c r="C236" s="300" t="str">
        <f>VLOOKUP("希望之光", Data!$B:$D,I1,FALSE)&amp;"（4-2-2）"</f>
        <v>希望之光（4-2-2）</v>
      </c>
      <c r="D236" s="301"/>
    </row>
    <row r="237" spans="1:4" s="79" customFormat="1" ht="15" thickBot="1">
      <c r="A237" s="473"/>
      <c r="B237" s="286"/>
    </row>
    <row r="238" spans="1:4" s="79" customFormat="1" ht="23" thickBot="1">
      <c r="A238" s="749" t="str">
        <f>VLOOKUP("大家都愛沈老貪", Data!$B:$D,I1,FALSE)</f>
        <v>大家都愛沈老貪</v>
      </c>
      <c r="B238" s="750"/>
      <c r="C238" s="750"/>
      <c r="D238" s="751"/>
    </row>
    <row r="239" spans="1:4" s="79" customFormat="1" ht="14.5">
      <c r="A239" s="292" t="s">
        <v>3472</v>
      </c>
      <c r="B239" s="284" t="s">
        <v>3473</v>
      </c>
      <c r="C239" s="277" t="s">
        <v>3474</v>
      </c>
      <c r="D239" s="293" t="s">
        <v>2542</v>
      </c>
    </row>
    <row r="240" spans="1:4" s="79" customFormat="1" ht="14.5">
      <c r="A240" s="564" t="str">
        <f>VLOOKUP("無法安息的亡者", Data!$B:$D,I1,FALSE)</f>
        <v>無法安息的亡者</v>
      </c>
      <c r="B240" s="289" t="s">
        <v>2676</v>
      </c>
      <c r="C240" s="843" t="str">
        <f>VLOOKUP("破碎的王冠", Data!$B:$D,I1,FALSE)&amp;"（1-3-1）"</f>
        <v>破碎的王冠（1-3-1）</v>
      </c>
      <c r="D240" s="82" t="s">
        <v>3519</v>
      </c>
    </row>
    <row r="241" spans="1:4" s="79" customFormat="1" ht="14.5">
      <c r="A241" s="564" t="str">
        <f>VLOOKUP("談談你自己", Data!$B:$D,I1,FALSE)</f>
        <v>談談你自己</v>
      </c>
      <c r="B241" s="289" t="s">
        <v>3477</v>
      </c>
      <c r="C241" s="844"/>
      <c r="D241" s="82"/>
    </row>
    <row r="242" spans="1:4" s="79" customFormat="1" ht="14.5">
      <c r="A242" s="564" t="str">
        <f>VLOOKUP("迪卡·凱恩", Data!$B:$D,I1,FALSE)</f>
        <v>迪卡·凱恩</v>
      </c>
      <c r="B242" s="821" t="s">
        <v>2676</v>
      </c>
      <c r="C242" s="845"/>
      <c r="D242" s="82" t="s">
        <v>3520</v>
      </c>
    </row>
    <row r="243" spans="1:4" s="79" customFormat="1" ht="14.5">
      <c r="A243" s="564" t="str">
        <f>VLOOKUP("珠寶", Data!$B:$D,I1,FALSE)</f>
        <v>珠寶</v>
      </c>
      <c r="B243" s="821"/>
      <c r="C243" s="281" t="str">
        <f>VLOOKUP("破碎的王冠", Data!$B:$D,I1,FALSE)&amp;"（1-3-2）"</f>
        <v>破碎的王冠（1-3-2）</v>
      </c>
      <c r="D243" s="82" t="s">
        <v>3521</v>
      </c>
    </row>
    <row r="244" spans="1:4" s="79" customFormat="1" ht="14.5">
      <c r="A244" s="564" t="str">
        <f>VLOOKUP("李奧瑞克王", Data!$B:$D,I1,FALSE)</f>
        <v>李奧瑞克王</v>
      </c>
      <c r="B244" s="821"/>
      <c r="C244" s="281" t="str">
        <f>VLOOKUP("黑狂君的統治", Data!$B:$D,I1,FALSE)&amp;"（1-4-1）"</f>
        <v>黑狂君的統治（1-4-1）</v>
      </c>
      <c r="D244" s="82" t="s">
        <v>3522</v>
      </c>
    </row>
    <row r="245" spans="1:4" s="79" customFormat="1" ht="14.5">
      <c r="A245" s="564" t="str">
        <f>VLOOKUP("隕落之星", Data!$B:$D,I1,FALSE)</f>
        <v>隕落之星</v>
      </c>
      <c r="B245" s="821"/>
      <c r="C245" s="281" t="str">
        <f>VLOOKUP("異世之劍", Data!$B:$D,I1,FALSE)&amp;"（1-5-1）"</f>
        <v>異世之劍（1-5-1）</v>
      </c>
      <c r="D245" s="82" t="s">
        <v>3541</v>
      </c>
    </row>
    <row r="246" spans="1:4" s="79" customFormat="1" ht="14.5">
      <c r="A246" s="564" t="str">
        <f>VLOOKUP("世界", Data!$B:$D,I1,FALSE)</f>
        <v>世界</v>
      </c>
      <c r="B246" s="821"/>
      <c r="C246" s="281" t="str">
        <f>VLOOKUP("破碎的異世之劍", Data!$B:$D,I1,FALSE)&amp;"（1-6-1）"</f>
        <v>破碎的異世之劍（1-6-1）</v>
      </c>
      <c r="D246" s="82" t="s">
        <v>3542</v>
      </c>
    </row>
    <row r="247" spans="1:4" s="79" customFormat="1" ht="14.5">
      <c r="A247" s="564" t="str">
        <f>VLOOKUP("黑暗的景象", Data!$B:$D,I1,FALSE)</f>
        <v>黑暗的景象</v>
      </c>
      <c r="B247" s="821"/>
      <c r="C247" s="281" t="str">
        <f>VLOOKUP("沃薩姆的浩劫", Data!$B:$D,I1,FALSE)&amp;"（1-7-1）"</f>
        <v>沃薩姆的浩劫（1-7-1）</v>
      </c>
      <c r="D247" s="82" t="s">
        <v>3613</v>
      </c>
    </row>
    <row r="248" spans="1:4" s="79" customFormat="1" ht="14.5">
      <c r="A248" s="564" t="str">
        <f>VLOOKUP("哀悼", Data!$B:$D,I1,FALSE)</f>
        <v>哀悼</v>
      </c>
      <c r="B248" s="821"/>
      <c r="C248" s="281" t="str">
        <f>VLOOKUP("追尋真神教", Data!$B:$D,I1,FALSE)&amp;"（1-8-1）"</f>
        <v>追尋真神教（1-8-1）</v>
      </c>
      <c r="D248" s="82" t="s">
        <v>3614</v>
      </c>
    </row>
    <row r="249" spans="1:4" s="79" customFormat="1" ht="14.5">
      <c r="A249" s="564" t="str">
        <f>VLOOKUP("陌生人", Data!$B:$D,I1,FALSE)</f>
        <v>陌生人</v>
      </c>
      <c r="B249" s="821"/>
      <c r="C249" s="281" t="str">
        <f>VLOOKUP("被囚禁的天使", Data!$B:$D,I1,FALSE)&amp;"（1-9-1）"</f>
        <v>被囚禁的天使（1-9-1）</v>
      </c>
      <c r="D249" s="82" t="s">
        <v>3543</v>
      </c>
    </row>
    <row r="250" spans="1:4" s="79" customFormat="1" ht="14.5">
      <c r="A250" s="564" t="str">
        <f>VLOOKUP("前方的旅程", Data!$B:$D,I1,FALSE)</f>
        <v>前方的旅程</v>
      </c>
      <c r="B250" s="821"/>
      <c r="C250" s="281" t="str">
        <f>VLOOKUP("返回新崔斯特姆", Data!$B:$D,I1,FALSE)&amp;"（1-10-1）"</f>
        <v>返回新崔斯特姆（1-10-1）</v>
      </c>
      <c r="D250" s="82" t="s">
        <v>3519</v>
      </c>
    </row>
    <row r="251" spans="1:4" s="79" customFormat="1" ht="14.5">
      <c r="A251" s="148" t="str">
        <f>VLOOKUP("稀世珠寶", Data!$B:$D,I1,FALSE)</f>
        <v>稀世珠寶</v>
      </c>
      <c r="B251" s="288" t="s">
        <v>3515</v>
      </c>
      <c r="C251" s="840" t="str">
        <f>VLOOKUP("沙漠之影", Data!$B:$D,I1,FALSE)&amp;"（2-1-1）"</f>
        <v>沙漠之影（2-1-1）</v>
      </c>
      <c r="D251" s="97" t="s">
        <v>3618</v>
      </c>
    </row>
    <row r="252" spans="1:4" s="79" customFormat="1" ht="14.5">
      <c r="A252" s="148" t="str">
        <f>VLOOKUP("酷熱的沙漠", Data!$B:$D,I1,FALSE)</f>
        <v>酷熱的沙漠</v>
      </c>
      <c r="B252" s="288" t="s">
        <v>2684</v>
      </c>
      <c r="C252" s="840"/>
      <c r="D252" s="97" t="s">
        <v>3524</v>
      </c>
    </row>
    <row r="253" spans="1:4" s="79" customFormat="1" ht="14.5">
      <c r="A253" s="148" t="str">
        <f>VLOOKUP("妙手賊神的傳說（誤認身份）", Data!$B:$D,I1,FALSE)</f>
        <v>妙手賊神的傳說（誤認身份）</v>
      </c>
      <c r="B253" s="288" t="s">
        <v>3515</v>
      </c>
      <c r="C253" s="840"/>
      <c r="D253" s="97" t="str">
        <f>"听完“"&amp;VLOOKUP("稀世珠寶", Data!$B:$D,I1,FALSE)&amp;"”后激活，对话后获得书籍“"&amp;VLOOKUP("妙手賊神的傳說", Data!$B:$D,I1,FALSE)&amp;"”，第三章结束前对话"</f>
        <v>听完“稀世珠寶”后激活，对话后获得书籍“妙手賊神的傳說”，第三章结束前对话</v>
      </c>
    </row>
    <row r="254" spans="1:4" s="79" customFormat="1" ht="14.5">
      <c r="A254" s="148" t="str">
        <f>VLOOKUP("卡爾蒂姆", Data!$B:$D,I1,FALSE)</f>
        <v>卡爾蒂姆</v>
      </c>
      <c r="B254" s="822" t="s">
        <v>2684</v>
      </c>
      <c r="C254" s="149" t="str">
        <f>VLOOKUP("皇室覲見", Data!$B:$D,I1,FALSE)&amp;"（2-4-1）"</f>
        <v>皇室覲見（2-4-1）</v>
      </c>
      <c r="D254" s="97" t="s">
        <v>3525</v>
      </c>
    </row>
    <row r="255" spans="1:4" s="79" customFormat="1" ht="14.5">
      <c r="A255" s="148" t="str">
        <f>VLOOKUP("神秘的傳聞", Data!$B:$D,I1,FALSE)</f>
        <v>神秘的傳聞</v>
      </c>
      <c r="B255" s="822"/>
      <c r="C255" s="149" t="str">
        <f>VLOOKUP("沙漠之影", Data!$B:$D,I1,FALSE)&amp;"（2-1-1）"</f>
        <v>沙漠之影（2-1-1）</v>
      </c>
      <c r="D255" s="97" t="s">
        <v>3526</v>
      </c>
    </row>
    <row r="256" spans="1:4" s="79" customFormat="1" ht="14.5">
      <c r="A256" s="148" t="str">
        <f>VLOOKUP("佐頓庫勒", Data!$B:$D,I1,FALSE)</f>
        <v>佐頓庫勒</v>
      </c>
      <c r="B256" s="822"/>
      <c r="C256" s="149" t="str">
        <f>VLOOKUP("赫拉迪姆的背叛者", Data!$B:$D,I1,FALSE)&amp;"（2-6-1）"</f>
        <v>赫拉迪姆的背叛者（2-6-1）</v>
      </c>
      <c r="D256" s="97" t="s">
        <v>3527</v>
      </c>
    </row>
    <row r="257" spans="1:4" s="79" customFormat="1" ht="14.5">
      <c r="A257" s="148" t="str">
        <f>VLOOKUP("真假傳說", Data!$B:$D,I1,FALSE)</f>
        <v>真假傳說</v>
      </c>
      <c r="B257" s="822" t="s">
        <v>3515</v>
      </c>
      <c r="C257" s="149" t="str">
        <f>VLOOKUP("血染黃沙", Data!$B:$D,I1,FALSE)&amp;"（2-7-1）"</f>
        <v>血染黃沙（2-7-1）</v>
      </c>
      <c r="D257" s="97" t="s">
        <v>3544</v>
      </c>
    </row>
    <row r="258" spans="1:4" s="79" customFormat="1" ht="14.5">
      <c r="A258" s="148" t="str">
        <f>VLOOKUP("珠寶的代價", Data!$B:$D,I1,FALSE)</f>
        <v>珠寶的代價</v>
      </c>
      <c r="B258" s="822"/>
      <c r="C258" s="149" t="str">
        <f>VLOOKUP("黑靈魂石", Data!$B:$D,I1,FALSE)&amp;"（2-8-1）"</f>
        <v>黑靈魂石（2-8-1）</v>
      </c>
      <c r="D258" s="97" t="s">
        <v>3523</v>
      </c>
    </row>
    <row r="259" spans="1:4" s="79" customFormat="1" ht="14.5">
      <c r="A259" s="148" t="str">
        <f>VLOOKUP("黑靈魂石", Data!$B:$D,I1,FALSE)</f>
        <v>黑靈魂石</v>
      </c>
      <c r="B259" s="288" t="s">
        <v>2684</v>
      </c>
      <c r="C259" s="149" t="str">
        <f>VLOOKUP("肅清卡爾蒂姆", Data!$B:$D,I1,FALSE)&amp;"（2-9-1）"</f>
        <v>肅清卡爾蒂姆（2-9-1）</v>
      </c>
      <c r="D259" s="97" t="s">
        <v>3528</v>
      </c>
    </row>
    <row r="260" spans="1:4" s="79" customFormat="1" ht="14.5">
      <c r="A260" s="565" t="str">
        <f>VLOOKUP("寒冷的北方", Data!$B:$D,I1,FALSE)</f>
        <v>寒冷的北方</v>
      </c>
      <c r="B260" s="285" t="s">
        <v>2694</v>
      </c>
      <c r="C260" s="280" t="str">
        <f>VLOOKUP("戍衛要塞圍困", Data!$B:$D,I1,FALSE)&amp;"（3-1-1）"</f>
        <v>戍衛要塞圍困（3-1-1）</v>
      </c>
      <c r="D260" s="218" t="s">
        <v>3529</v>
      </c>
    </row>
    <row r="261" spans="1:4" s="79" customFormat="1" ht="14.5">
      <c r="A261" s="565" t="str">
        <f>VLOOKUP("回味往事", Data!$B:$D,I1,FALSE)</f>
        <v>回味往事</v>
      </c>
      <c r="B261" s="823" t="s">
        <v>3487</v>
      </c>
      <c r="C261" s="280" t="str">
        <f>VLOOKUP("扭轉戰況", Data!$B:$D,I1,FALSE)&amp;"（3-2-1）"</f>
        <v>扭轉戰況（3-2-1）</v>
      </c>
      <c r="D261" s="218" t="str">
        <f>"找泰瑞尔接任务，听完“"&amp;VLOOKUP("回憶", Data!$B:$D,I1,FALSE)&amp;"”后激活"</f>
        <v>找泰瑞尔接任务，听完“回憶”后激活</v>
      </c>
    </row>
    <row r="262" spans="1:4" s="79" customFormat="1" ht="14.5">
      <c r="A262" s="565" t="str">
        <f>VLOOKUP("寶石的來歷", Data!$B:$D,I1,FALSE)</f>
        <v>寶石的來歷</v>
      </c>
      <c r="B262" s="823"/>
      <c r="C262" s="280" t="str">
        <f>VLOOKUP("攻城破壞獸", Data!$B:$D,I1,FALSE)&amp;"（3-6-1）"</f>
        <v>攻城破壞獸（3-6-1）</v>
      </c>
      <c r="D262" s="218"/>
    </row>
    <row r="263" spans="1:4" s="79" customFormat="1" ht="14.5">
      <c r="A263" s="565" t="str">
        <f>VLOOKUP("上戰場", Data!$B:$D,I1,FALSE)</f>
        <v>上戰場</v>
      </c>
      <c r="B263" s="823" t="s">
        <v>2694</v>
      </c>
      <c r="C263" s="280" t="str">
        <f>VLOOKUP("攻城器械", Data!$B:$D,I1,FALSE)&amp;"（3-5-1）"</f>
        <v>攻城器械（3-5-1）</v>
      </c>
      <c r="D263" s="218" t="s">
        <v>3530</v>
      </c>
    </row>
    <row r="264" spans="1:4" s="79" customFormat="1" ht="14.5">
      <c r="A264" s="565" t="str">
        <f>VLOOKUP("結束之後", Data!$B:$D,I1,FALSE)</f>
        <v>結束之後</v>
      </c>
      <c r="B264" s="823"/>
      <c r="C264" s="280" t="str">
        <f>VLOOKUP("罪惡之核", Data!$B:$D,I1,FALSE)&amp;"（3-7-1）"</f>
        <v>罪惡之核（3-7-1）</v>
      </c>
      <c r="D264" s="218" t="s">
        <v>3523</v>
      </c>
    </row>
    <row r="265" spans="1:4" s="79" customFormat="1" ht="14.5">
      <c r="A265" s="565" t="str">
        <f>VLOOKUP("困難的問題", Data!$B:$D,I1,FALSE)</f>
        <v>困難的問題</v>
      </c>
      <c r="B265" s="285" t="s">
        <v>3487</v>
      </c>
      <c r="C265" s="280" t="str">
        <f>VLOOKUP("攻城器械", Data!$B:$D,I1,FALSE)&amp;"（3-5-1）"</f>
        <v>攻城器械（3-5-1）</v>
      </c>
      <c r="D265" s="218"/>
    </row>
    <row r="266" spans="1:4" s="79" customFormat="1" ht="14.5">
      <c r="A266" s="566" t="str">
        <f>VLOOKUP("晦暗的日子", Data!$B:$D,I1,FALSE)</f>
        <v>晦暗的日子</v>
      </c>
      <c r="B266" s="824" t="s">
        <v>3492</v>
      </c>
      <c r="C266" s="838" t="str">
        <f>VLOOKUP("至高天的隕落", Data!$B:$D,I1,FALSE)&amp;"（4-1-1）"</f>
        <v>至高天的隕落（4-1-1）</v>
      </c>
      <c r="D266" s="298" t="s">
        <v>3494</v>
      </c>
    </row>
    <row r="267" spans="1:4" s="79" customFormat="1" ht="14.5">
      <c r="A267" s="566" t="str">
        <f>VLOOKUP("希望", Data!$B:$D,I1,FALSE)</f>
        <v>希望</v>
      </c>
      <c r="B267" s="824"/>
      <c r="C267" s="848"/>
      <c r="D267" s="298" t="s">
        <v>3531</v>
      </c>
    </row>
    <row r="268" spans="1:4" s="79" customFormat="1" ht="14.5">
      <c r="A268" s="566" t="str">
        <f>VLOOKUP("一波又起", Data!$B:$D,I1,FALSE)</f>
        <v>一波又起</v>
      </c>
      <c r="B268" s="824"/>
      <c r="C268" s="839"/>
      <c r="D268" s="298" t="s">
        <v>6052</v>
      </c>
    </row>
    <row r="269" spans="1:4" s="79" customFormat="1" ht="14.5">
      <c r="A269" s="566" t="str">
        <f>VLOOKUP("莉亞的靈魂", Data!$B:$D,I1,FALSE)</f>
        <v>莉亞的靈魂</v>
      </c>
      <c r="B269" s="824"/>
      <c r="C269" s="282" t="str">
        <f>VLOOKUP("希望之光", Data!$B:$D,I1,FALSE)&amp;"（4-2-1）"</f>
        <v>希望之光（4-2-1）</v>
      </c>
      <c r="D269" s="298"/>
    </row>
    <row r="270" spans="1:4" s="79" customFormat="1" ht="14.5">
      <c r="A270" s="566" t="str">
        <f>VLOOKUP("神或人", Data!$B:$D,I1,FALSE)</f>
        <v>神或人</v>
      </c>
      <c r="B270" s="824"/>
      <c r="C270" s="282" t="str">
        <f>VLOOKUP("尖塔之下", Data!$B:$D,I1,FALSE)&amp;"（4-3-1）"</f>
        <v>尖塔之下（4-3-1）</v>
      </c>
      <c r="D270" s="298"/>
    </row>
    <row r="271" spans="1:4" s="79" customFormat="1" ht="14.5">
      <c r="A271" s="566" t="str">
        <f>VLOOKUP("毀滅與腐敗", Data!$B:$D,I1,FALSE)</f>
        <v>毀滅與腐敗</v>
      </c>
      <c r="B271" s="824"/>
      <c r="C271" s="282" t="str">
        <f>VLOOKUP("尖塔之下", Data!$B:$D,I1,FALSE)&amp;"（4-3-1）"</f>
        <v>尖塔之下（4-3-1）</v>
      </c>
      <c r="D271" s="298" t="s">
        <v>3532</v>
      </c>
    </row>
    <row r="272" spans="1:4" s="79" customFormat="1" ht="14.5">
      <c r="A272" s="566" t="str">
        <f>VLOOKUP("恐懼之王", Data!$B:$D,I1,FALSE)</f>
        <v>恐懼之王</v>
      </c>
      <c r="B272" s="824"/>
      <c r="C272" s="282" t="str">
        <f>VLOOKUP("萬惡之源", Data!$B:$D,I1,FALSE)&amp;"（4-4-1）"</f>
        <v>萬惡之源（4-4-1）</v>
      </c>
      <c r="D272" s="298" t="s">
        <v>3533</v>
      </c>
    </row>
    <row r="273" spans="1:4" s="79" customFormat="1" ht="15" thickBot="1">
      <c r="A273" s="567" t="str">
        <f>VLOOKUP("勝利", Data!$B:$D,I1,FALSE)</f>
        <v>勝利</v>
      </c>
      <c r="B273" s="825"/>
      <c r="C273" s="300" t="str">
        <f>VLOOKUP("萬惡之源", Data!$B:$D,I1,FALSE)&amp;"（4-4-2）"</f>
        <v>萬惡之源（4-4-2）</v>
      </c>
      <c r="D273" s="304" t="s">
        <v>3534</v>
      </c>
    </row>
    <row r="274" spans="1:4" s="79" customFormat="1" ht="15" thickBot="1">
      <c r="A274" s="473"/>
      <c r="B274" s="286"/>
    </row>
    <row r="275" spans="1:4" s="79" customFormat="1" ht="23" thickBot="1">
      <c r="A275" s="749" t="str">
        <f>VLOOKUP("請留步，聽我說個故事", Data!$B:$D,I1,FALSE)</f>
        <v>請留步，聽我說個故事</v>
      </c>
      <c r="B275" s="750"/>
      <c r="C275" s="750"/>
      <c r="D275" s="751"/>
    </row>
    <row r="276" spans="1:4" s="79" customFormat="1" ht="14.5">
      <c r="A276" s="292" t="s">
        <v>3472</v>
      </c>
      <c r="B276" s="284" t="s">
        <v>3473</v>
      </c>
      <c r="C276" s="277" t="s">
        <v>3474</v>
      </c>
      <c r="D276" s="293" t="s">
        <v>2542</v>
      </c>
    </row>
    <row r="277" spans="1:4" s="79" customFormat="1" ht="14.5">
      <c r="A277" s="564" t="str">
        <f>VLOOKUP("無法安息的亡者", Data!$B:$D,I1,FALSE)</f>
        <v>無法安息的亡者</v>
      </c>
      <c r="B277" s="821" t="s">
        <v>2676</v>
      </c>
      <c r="C277" s="850" t="str">
        <f>VLOOKUP("破碎的王冠", Data!$B:$D,I1,FALSE)&amp;"（1-3-1）"</f>
        <v>破碎的王冠（1-3-1）</v>
      </c>
      <c r="D277" s="851" t="s">
        <v>3535</v>
      </c>
    </row>
    <row r="278" spans="1:4" s="79" customFormat="1" ht="14.5">
      <c r="A278" s="564" t="str">
        <f>VLOOKUP("談談你自己", Data!$B:$D,I1,FALSE)</f>
        <v>談談你自己</v>
      </c>
      <c r="B278" s="821"/>
      <c r="C278" s="850"/>
      <c r="D278" s="851"/>
    </row>
    <row r="279" spans="1:4" s="79" customFormat="1" ht="14.5">
      <c r="A279" s="564" t="str">
        <f>VLOOKUP("迪卡·凱恩", Data!$B:$D,I1,FALSE)</f>
        <v>迪卡·凱恩</v>
      </c>
      <c r="B279" s="821"/>
      <c r="C279" s="850"/>
      <c r="D279" s="851"/>
    </row>
    <row r="280" spans="1:4" s="79" customFormat="1" ht="14.5">
      <c r="A280" s="564" t="str">
        <f>VLOOKUP("珠寶", Data!$B:$D,I1,FALSE)</f>
        <v>珠寶</v>
      </c>
      <c r="B280" s="821"/>
      <c r="C280" s="850"/>
      <c r="D280" s="82" t="s">
        <v>3522</v>
      </c>
    </row>
    <row r="281" spans="1:4" s="79" customFormat="1" ht="14.5">
      <c r="A281" s="564" t="str">
        <f>VLOOKUP("李奧瑞克王", Data!$B:$D,I1,FALSE)</f>
        <v>李奧瑞克王</v>
      </c>
      <c r="B281" s="821"/>
      <c r="C281" s="850" t="str">
        <f>VLOOKUP("異世之劍", Data!$B:$D,I1,FALSE)&amp;"（1-5-1）"</f>
        <v>異世之劍（1-5-1）</v>
      </c>
      <c r="D281" s="851" t="s">
        <v>3535</v>
      </c>
    </row>
    <row r="282" spans="1:4" s="79" customFormat="1" ht="14.5">
      <c r="A282" s="564" t="str">
        <f>VLOOKUP("隕落之星", Data!$B:$D,I1,FALSE)</f>
        <v>隕落之星</v>
      </c>
      <c r="B282" s="821"/>
      <c r="C282" s="850"/>
      <c r="D282" s="851"/>
    </row>
    <row r="283" spans="1:4" s="79" customFormat="1" ht="14.5">
      <c r="A283" s="564" t="str">
        <f>VLOOKUP("世界", Data!$B:$D,I1,FALSE)</f>
        <v>世界</v>
      </c>
      <c r="B283" s="821"/>
      <c r="C283" s="281" t="str">
        <f>VLOOKUP("破碎的異世之劍", Data!$B:$D,I1,FALSE)&amp;"（1-6-1）"</f>
        <v>破碎的異世之劍（1-6-1）</v>
      </c>
      <c r="D283" s="851"/>
    </row>
    <row r="284" spans="1:4" s="79" customFormat="1" ht="14.5">
      <c r="A284" s="564" t="str">
        <f>VLOOKUP("黑暗的景象", Data!$B:$D,I1,FALSE)</f>
        <v>黑暗的景象</v>
      </c>
      <c r="B284" s="821"/>
      <c r="C284" s="850" t="str">
        <f>VLOOKUP("沃薩姆的浩劫", Data!$B:$D,I1,FALSE)&amp;"（1-7-1）"</f>
        <v>沃薩姆的浩劫（1-7-1）</v>
      </c>
      <c r="D284" s="851"/>
    </row>
    <row r="285" spans="1:4" s="79" customFormat="1" ht="14.5">
      <c r="A285" s="564" t="str">
        <f>VLOOKUP("哀悼", Data!$B:$D,I1,FALSE)</f>
        <v>哀悼</v>
      </c>
      <c r="B285" s="821"/>
      <c r="C285" s="850"/>
      <c r="D285" s="851"/>
    </row>
    <row r="286" spans="1:4" s="79" customFormat="1" ht="15" thickBot="1">
      <c r="A286" s="163" t="str">
        <f>VLOOKUP("陌生人", Data!$B:$D,I1,FALSE)</f>
        <v>陌生人</v>
      </c>
      <c r="B286" s="849"/>
      <c r="C286" s="306" t="str">
        <f>VLOOKUP("被囚禁的天使", Data!$B:$D,I1,FALSE)&amp;"（1-3-1）"</f>
        <v>被囚禁的天使（1-3-1）</v>
      </c>
      <c r="D286" s="88" t="str">
        <f>"听完“"&amp;VLOOKUP("世界之石", Data!$B:$D,I1,FALSE)&amp;"”后激活，1-7-1找泰瑞尔接任务前对话"</f>
        <v>听完“世界之石”后激活，1-7-1找泰瑞尔接任务前对话</v>
      </c>
    </row>
    <row r="287" spans="1:4" s="79" customFormat="1" ht="15" thickBot="1">
      <c r="A287" s="473"/>
      <c r="B287" s="286"/>
    </row>
    <row r="288" spans="1:4" s="79" customFormat="1" ht="23" thickBot="1">
      <c r="A288" s="749" t="str">
        <f>VLOOKUP("不只是故事", Data!$B:$D,I1,FALSE)</f>
        <v>不只是故事</v>
      </c>
      <c r="B288" s="750"/>
      <c r="C288" s="750"/>
      <c r="D288" s="751"/>
    </row>
    <row r="289" spans="1:4" s="79" customFormat="1" ht="14.5">
      <c r="A289" s="292" t="s">
        <v>3472</v>
      </c>
      <c r="B289" s="284" t="s">
        <v>3473</v>
      </c>
      <c r="C289" s="277" t="s">
        <v>3474</v>
      </c>
      <c r="D289" s="293" t="s">
        <v>2542</v>
      </c>
    </row>
    <row r="290" spans="1:4" s="79" customFormat="1" ht="14.5">
      <c r="A290" s="564" t="str">
        <f>VLOOKUP("與凱恩共度的日子", Data!$B:$D,I1,FALSE)</f>
        <v>與凱恩共度的日子</v>
      </c>
      <c r="B290" s="821" t="s">
        <v>2676</v>
      </c>
      <c r="C290" s="281" t="str">
        <f>VLOOKUP("破碎的王冠", Data!$B:$D,I1,FALSE)&amp;"（1-3-1）"</f>
        <v>破碎的王冠（1-3-1）</v>
      </c>
      <c r="D290" s="82" t="s">
        <v>3545</v>
      </c>
    </row>
    <row r="291" spans="1:4" s="79" customFormat="1" ht="14.5">
      <c r="A291" s="564" t="str">
        <f>VLOOKUP("崔斯特姆", Data!$B:$D,I1,FALSE)</f>
        <v>崔斯特姆</v>
      </c>
      <c r="B291" s="821"/>
      <c r="C291" s="281" t="str">
        <f>VLOOKUP("凱恩生死之謎", Data!$B:$D,I1,FALSE)&amp;"（1-2-1）"</f>
        <v>凱恩生死之謎（1-2-1）</v>
      </c>
      <c r="D291" s="82" t="s">
        <v>3547</v>
      </c>
    </row>
    <row r="292" spans="1:4" s="79" customFormat="1" ht="14.5">
      <c r="A292" s="564" t="str">
        <f>VLOOKUP("愛德莉雅", Data!$B:$D,I1,FALSE)</f>
        <v>愛德莉雅</v>
      </c>
      <c r="B292" s="821"/>
      <c r="C292" s="281" t="str">
        <f>VLOOKUP("破碎的王冠", Data!$B:$D,I1,FALSE)&amp;"（1-3-1）"</f>
        <v>破碎的王冠（1-3-1）</v>
      </c>
      <c r="D292" s="82" t="s">
        <v>3545</v>
      </c>
    </row>
    <row r="293" spans="1:4" s="79" customFormat="1" ht="14.5">
      <c r="A293" s="564" t="str">
        <f>VLOOKUP("莉亞的童年", Data!$B:$D,I1,FALSE)</f>
        <v>莉亞的童年</v>
      </c>
      <c r="B293" s="821"/>
      <c r="C293" s="281" t="str">
        <f>VLOOKUP("隕星", Data!$B:$D,I1,FALSE)&amp;"（1-1-2）"</f>
        <v>隕星（1-1-2）</v>
      </c>
      <c r="D293" s="82" t="s">
        <v>3566</v>
      </c>
    </row>
    <row r="294" spans="1:4" s="79" customFormat="1" ht="14.5">
      <c r="A294" s="564" t="str">
        <f>VLOOKUP("愛德莉雅之死", Data!$B:$D,I1,FALSE)</f>
        <v>愛德莉雅之死</v>
      </c>
      <c r="B294" s="821"/>
      <c r="C294" s="281" t="str">
        <f>VLOOKUP("凱恩生死之謎", Data!$B:$D,I1,FALSE)&amp;"（1-2-1）"</f>
        <v>凱恩生死之謎（1-2-1）</v>
      </c>
      <c r="D294" s="82" t="s">
        <v>3548</v>
      </c>
    </row>
    <row r="295" spans="1:4" s="79" customFormat="1" ht="14.5">
      <c r="A295" s="564" t="str">
        <f>VLOOKUP("關於沉沒神殿", Data!$B:$D,I1,FALSE)</f>
        <v>關於沉沒神殿</v>
      </c>
      <c r="B295" s="821"/>
      <c r="C295" s="281" t="str">
        <f>VLOOKUP("破碎的異世之劍", Data!$B:$D,I1,FALSE)&amp;"（1-6-2）"</f>
        <v>破碎的異世之劍（1-6-2）</v>
      </c>
      <c r="D295" s="82" t="s">
        <v>4244</v>
      </c>
    </row>
    <row r="296" spans="1:4" s="79" customFormat="1" ht="14.5">
      <c r="A296" s="564" t="str">
        <f>VLOOKUP("莉亞的力量", Data!$B:$D,I1,FALSE)</f>
        <v>莉亞的力量</v>
      </c>
      <c r="B296" s="821"/>
      <c r="C296" s="281" t="str">
        <f>VLOOKUP("追尋真神教", Data!$B:$D,I1,FALSE)&amp;"（1-8-1）"</f>
        <v>追尋真神教（1-8-1）</v>
      </c>
      <c r="D296" s="82" t="s">
        <v>3550</v>
      </c>
    </row>
    <row r="297" spans="1:4" s="79" customFormat="1" ht="14.5">
      <c r="A297" s="148" t="str">
        <f>VLOOKUP("關於愛德莉雅", Data!$B:$D,I1,FALSE)</f>
        <v>關於愛德莉雅</v>
      </c>
      <c r="B297" s="822" t="s">
        <v>2684</v>
      </c>
      <c r="C297" s="149" t="str">
        <f>VLOOKUP("黑靈魂石", Data!$B:$D,I1,FALSE)&amp;"（2-8-1）"</f>
        <v>黑靈魂石（2-8-1）</v>
      </c>
      <c r="D297" s="846" t="s">
        <v>3528</v>
      </c>
    </row>
    <row r="298" spans="1:4" s="79" customFormat="1" ht="14.5">
      <c r="A298" s="148" t="str">
        <f>VLOOKUP("緬懷凱恩", Data!$B:$D,I1,FALSE)</f>
        <v>緬懷凱恩</v>
      </c>
      <c r="B298" s="822"/>
      <c r="C298" s="149" t="str">
        <f>VLOOKUP("血染黃沙", Data!$B:$D,I1,FALSE)&amp;"（2-7-1）"</f>
        <v>血染黃沙（2-7-1）</v>
      </c>
      <c r="D298" s="846"/>
    </row>
    <row r="299" spans="1:4" s="79" customFormat="1" ht="14.5">
      <c r="A299" s="148" t="str">
        <f>VLOOKUP("關於佐頓庫勒", Data!$B:$D,I1,FALSE)</f>
        <v>關於佐頓庫勒</v>
      </c>
      <c r="B299" s="822"/>
      <c r="C299" s="149" t="str">
        <f>VLOOKUP("赫拉迪姆的背叛者", Data!$B:$D,I1,FALSE)&amp;"（2-6-1）"</f>
        <v>赫拉迪姆的背叛者（2-6-1）</v>
      </c>
      <c r="D299" s="97" t="s">
        <v>3551</v>
      </c>
    </row>
    <row r="300" spans="1:4" s="79" customFormat="1" ht="14.5">
      <c r="A300" s="148" t="str">
        <f>VLOOKUP("秘庫", Data!$B:$D,I1,FALSE)</f>
        <v>秘庫</v>
      </c>
      <c r="B300" s="822"/>
      <c r="C300" s="149" t="str">
        <f>VLOOKUP("黑靈魂石", Data!$B:$D,I1,FALSE)&amp;"（2-8-2）"</f>
        <v>黑靈魂石（2-8-2）</v>
      </c>
      <c r="D300" s="97" t="s">
        <v>3567</v>
      </c>
    </row>
    <row r="301" spans="1:4" s="79" customFormat="1" ht="14.5">
      <c r="A301" s="565" t="str">
        <f>VLOOKUP("擔憂", Data!$B:$D,I1,FALSE)</f>
        <v>擔憂</v>
      </c>
      <c r="B301" s="823" t="s">
        <v>2694</v>
      </c>
      <c r="C301" s="280" t="str">
        <f>VLOOKUP("戍衛要塞圍困", Data!$B:$D,I1,FALSE)&amp;"（3-1-1）"</f>
        <v>戍衛要塞圍困（3-1-1）</v>
      </c>
      <c r="D301" s="218" t="s">
        <v>3552</v>
      </c>
    </row>
    <row r="302" spans="1:4" s="79" customFormat="1" ht="14.5">
      <c r="A302" s="565" t="str">
        <f>VLOOKUP("希望", Data!$B:$D,I1,FALSE)</f>
        <v>希望</v>
      </c>
      <c r="B302" s="823"/>
      <c r="C302" s="280" t="str">
        <f>VLOOKUP("扭轉戰況", Data!$B:$D,I1,FALSE)&amp;"（3-2-1）"</f>
        <v>扭轉戰況（3-2-1）</v>
      </c>
      <c r="D302" s="218" t="s">
        <v>3552</v>
      </c>
    </row>
    <row r="303" spans="1:4" s="79" customFormat="1" ht="15" thickBot="1">
      <c r="A303" s="569" t="str">
        <f>VLOOKUP("夢想", Data!$B:$D,I1,FALSE)</f>
        <v>夢想</v>
      </c>
      <c r="B303" s="847"/>
      <c r="C303" s="308" t="str">
        <f>VLOOKUP("扭轉戰況", Data!$B:$D,I1,FALSE)&amp;"（3-2-1）"</f>
        <v>扭轉戰況（3-2-1）</v>
      </c>
      <c r="D303" s="222" t="str">
        <f>"听完“"&amp;VLOOKUP("希望", Data!$B:$D,I1,FALSE)&amp;"”后激活，击杀冈姆前对话"</f>
        <v>听完“希望”后激活，击杀冈姆前对话</v>
      </c>
    </row>
    <row r="304" spans="1:4" s="79" customFormat="1" ht="15" thickBot="1">
      <c r="A304" s="473"/>
      <c r="B304" s="286"/>
    </row>
    <row r="305" spans="1:4" s="79" customFormat="1" ht="23" thickBot="1">
      <c r="A305" s="749" t="str">
        <f>VLOOKUP("只能靠我們了", Data!$B:$D,I1,FALSE)</f>
        <v>只能靠我們了</v>
      </c>
      <c r="B305" s="750"/>
      <c r="C305" s="750"/>
      <c r="D305" s="750"/>
    </row>
    <row r="306" spans="1:4" s="79" customFormat="1" ht="14.5">
      <c r="A306" s="277" t="s">
        <v>3472</v>
      </c>
      <c r="B306" s="284" t="s">
        <v>3473</v>
      </c>
      <c r="C306" s="277" t="s">
        <v>3918</v>
      </c>
      <c r="D306" s="277" t="s">
        <v>2542</v>
      </c>
    </row>
    <row r="307" spans="1:4" s="79" customFormat="1" ht="14.5">
      <c r="A307" s="546" t="str">
        <f>VLOOKUP("失去的記憶", Data!$B:$D,I1,FALSE)</f>
        <v>失去的記憶</v>
      </c>
      <c r="B307" s="821" t="s">
        <v>2676</v>
      </c>
      <c r="C307" s="281" t="str">
        <f>VLOOKUP("異世之劍", Data!$B:$D,I1,FALSE)&amp;"（1-5-1）"</f>
        <v>異世之劍（1-5-1）</v>
      </c>
      <c r="D307" s="281" t="s">
        <v>3541</v>
      </c>
    </row>
    <row r="308" spans="1:4" s="79" customFormat="1" ht="14.5">
      <c r="A308" s="546" t="str">
        <f>VLOOKUP("破碎之劍", Data!$B:$D,I1,FALSE)</f>
        <v>破碎之劍</v>
      </c>
      <c r="B308" s="821"/>
      <c r="C308" s="281" t="str">
        <f>VLOOKUP("破碎的異世之劍", Data!$B:$D,I1,FALSE)&amp;"（1-6-1）"</f>
        <v>破碎的異世之劍（1-6-1）</v>
      </c>
      <c r="D308" s="281" t="s">
        <v>3520</v>
      </c>
    </row>
    <row r="309" spans="1:4" s="79" customFormat="1" ht="14.5">
      <c r="A309" s="546" t="str">
        <f>VLOOKUP("神秘的教團", Data!$B:$D,I1,FALSE)</f>
        <v>神秘的教團</v>
      </c>
      <c r="B309" s="821"/>
      <c r="C309" s="281" t="str">
        <f>VLOOKUP("沃薩姆的浩劫", Data!$B:$D,I1,FALSE)&amp;"（1-7-1）"</f>
        <v>沃薩姆的浩劫（1-7-1）</v>
      </c>
      <c r="D309" s="281" t="s">
        <v>3554</v>
      </c>
    </row>
    <row r="310" spans="1:4" s="79" customFormat="1" ht="14.5">
      <c r="A310" s="546" t="str">
        <f>VLOOKUP("地獄之王", Data!$B:$D,I1,FALSE)</f>
        <v>地獄之王</v>
      </c>
      <c r="B310" s="821"/>
      <c r="C310" s="281" t="str">
        <f>VLOOKUP("返回新崔斯特姆", Data!$B:$D,I1,FALSE)&amp;"（1-10-1）"</f>
        <v>返回新崔斯特姆（1-10-1）</v>
      </c>
      <c r="D310" s="281" t="s">
        <v>3555</v>
      </c>
    </row>
    <row r="311" spans="1:4" s="79" customFormat="1" ht="14.5">
      <c r="A311" s="548" t="str">
        <f>VLOOKUP("關於卡爾蒂姆", Data!$B:$D,I1,FALSE)</f>
        <v>關於卡爾蒂姆</v>
      </c>
      <c r="B311" s="822" t="s">
        <v>2684</v>
      </c>
      <c r="C311" s="149" t="str">
        <f>VLOOKUP("皇室覲見", Data!$B:$D,I1,FALSE)&amp;"（2-4-1）"</f>
        <v>皇室覲見（2-4-1）</v>
      </c>
      <c r="D311" s="840" t="s">
        <v>3514</v>
      </c>
    </row>
    <row r="312" spans="1:4" s="79" customFormat="1" ht="14.5">
      <c r="A312" s="548" t="str">
        <f>VLOOKUP("謊言之王", Data!$B:$D,I1,FALSE)</f>
        <v>謊言之王</v>
      </c>
      <c r="B312" s="822"/>
      <c r="C312" s="149" t="str">
        <f>VLOOKUP("血染黃沙", Data!$B:$D,I1,FALSE)&amp;"（2-7-1）"</f>
        <v>血染黃沙（2-7-1）</v>
      </c>
      <c r="D312" s="840"/>
    </row>
    <row r="313" spans="1:4" s="79" customFormat="1" ht="14.5">
      <c r="A313" s="548" t="str">
        <f>VLOOKUP("卡爾蒂姆的難民", Data!$B:$D,I1,FALSE)</f>
        <v>卡爾蒂姆的難民</v>
      </c>
      <c r="B313" s="822"/>
      <c r="C313" s="840" t="str">
        <f>VLOOKUP("皇室覲見", Data!$B:$D,I1,FALSE)&amp;"（2-4-1）"</f>
        <v>皇室覲見（2-4-1）</v>
      </c>
      <c r="D313" s="840"/>
    </row>
    <row r="314" spans="1:4" s="79" customFormat="1" ht="14.5">
      <c r="A314" s="548" t="str">
        <f>VLOOKUP("你的隕落", Data!$B:$D,I1,FALSE)</f>
        <v>你的隕落</v>
      </c>
      <c r="B314" s="822"/>
      <c r="C314" s="840"/>
      <c r="D314" s="840"/>
    </row>
    <row r="315" spans="1:4" s="79" customFormat="1" ht="14.5">
      <c r="A315" s="548" t="str">
        <f>VLOOKUP("亞瑞特山的毀滅", Data!$B:$D,I1,FALSE)</f>
        <v>亞瑞特山的毀滅</v>
      </c>
      <c r="B315" s="822"/>
      <c r="C315" s="840" t="str">
        <f>VLOOKUP("意外的盟友", Data!$B:$D,I1,FALSE)&amp;"（2-5-1）"</f>
        <v>意外的盟友（2-5-1）</v>
      </c>
      <c r="D315" s="840"/>
    </row>
    <row r="316" spans="1:4" s="79" customFormat="1" ht="14.5">
      <c r="A316" s="548" t="str">
        <f>VLOOKUP("過去的二十年", Data!$B:$D,I1,FALSE)</f>
        <v>過去的二十年</v>
      </c>
      <c r="B316" s="822"/>
      <c r="C316" s="840"/>
      <c r="D316" s="149" t="str">
        <f>"听完“"&amp;VLOOKUP("亞瑞特山的毀滅", Data!$B:$D,I1,FALSE)&amp;"”后激活，第二章结束之前对话"</f>
        <v>听完“亞瑞特山的毀滅”后激活，第二章结束之前对话</v>
      </c>
    </row>
    <row r="317" spans="1:4" s="79" customFormat="1" ht="14.5">
      <c r="A317" s="548" t="str">
        <f>VLOOKUP("腐化", Data!$B:$D,I1,FALSE)</f>
        <v>腐化</v>
      </c>
      <c r="B317" s="822"/>
      <c r="C317" s="149" t="str">
        <f>VLOOKUP("皇室覲見", Data!$B:$D,I1,FALSE)&amp;"（2-4-1）"</f>
        <v>皇室覲見（2-4-1）</v>
      </c>
      <c r="D317" s="149" t="s">
        <v>3514</v>
      </c>
    </row>
    <row r="318" spans="1:4" s="79" customFormat="1" ht="14.5">
      <c r="A318" s="548" t="str">
        <f>VLOOKUP("佐敦庫勒之死", Data!$B:$D,I1,FALSE)</f>
        <v>佐敦庫勒之死</v>
      </c>
      <c r="B318" s="822"/>
      <c r="C318" s="149" t="str">
        <f>VLOOKUP("赫拉迪姆的背叛者", Data!$B:$D,I1,FALSE)&amp;"（2-6-1）"</f>
        <v>赫拉迪姆的背叛者（2-6-1）</v>
      </c>
      <c r="D318" s="149" t="s">
        <v>3536</v>
      </c>
    </row>
    <row r="319" spans="1:4" s="79" customFormat="1" ht="14.5">
      <c r="A319" s="550" t="str">
        <f>VLOOKUP("庫勒的黑靈魂石", Data!$B:$D,I1,FALSE)</f>
        <v>庫勒的黑靈魂石</v>
      </c>
      <c r="B319" s="823" t="s">
        <v>2694</v>
      </c>
      <c r="C319" s="852" t="str">
        <f>VLOOKUP("戍衛要塞圍困", Data!$B:$D,I1,FALSE)&amp;"（3-1-1）"</f>
        <v>戍衛要塞圍困（3-1-1）</v>
      </c>
      <c r="D319" s="280" t="s">
        <v>3557</v>
      </c>
    </row>
    <row r="320" spans="1:4" s="79" customFormat="1" ht="14.5">
      <c r="A320" s="550" t="str">
        <f>VLOOKUP("有瑕疵的靈魂石", Data!$B:$D,I1,FALSE)</f>
        <v>有瑕疵的靈魂石</v>
      </c>
      <c r="B320" s="823"/>
      <c r="C320" s="852"/>
      <c r="D320" s="280" t="str">
        <f>"听完“"&amp;VLOOKUP("庫勒的黑靈魂石", Data!$B:$D,I1,FALSE)&amp;"”后激活，击杀阿兹莫丹之前对话"</f>
        <v>听完“庫勒的黑靈魂石”后激活，击杀阿兹莫丹之前对话</v>
      </c>
    </row>
    <row r="321" spans="1:4" s="79" customFormat="1" ht="14.5">
      <c r="A321" s="550" t="str">
        <f>VLOOKUP("人類的知識", Data!$B:$D,I1,FALSE)</f>
        <v>人類的知識</v>
      </c>
      <c r="B321" s="823"/>
      <c r="C321" s="852"/>
      <c r="D321" s="280" t="s">
        <v>3557</v>
      </c>
    </row>
    <row r="322" spans="1:4" s="79" customFormat="1" ht="14.5">
      <c r="A322" s="550" t="str">
        <f>VLOOKUP("逝去的機會", Data!$B:$D,I1,FALSE)</f>
        <v>逝去的機會</v>
      </c>
      <c r="B322" s="823"/>
      <c r="C322" s="852"/>
      <c r="D322" s="280" t="s">
        <v>3568</v>
      </c>
    </row>
    <row r="323" spans="1:4" s="79" customFormat="1" ht="14.5">
      <c r="A323" s="550" t="str">
        <f>VLOOKUP("改變", Data!$B:$D,I1,FALSE)</f>
        <v>改變</v>
      </c>
      <c r="B323" s="823"/>
      <c r="C323" s="852"/>
      <c r="D323" s="280" t="str">
        <f>"听完“"&amp;VLOOKUP("逝去的機會", Data!$B:$D,I1,FALSE)&amp;"”后激活，点完5处烽火之前对话"</f>
        <v>听完“逝去的機會”后激活，点完5处烽火之前对话</v>
      </c>
    </row>
    <row r="324" spans="1:4" s="79" customFormat="1" ht="14.5">
      <c r="A324" s="550" t="str">
        <f>VLOOKUP("熱血沸騰", Data!$B:$D,I1,FALSE)</f>
        <v>熱血沸騰</v>
      </c>
      <c r="B324" s="823"/>
      <c r="C324" s="280" t="str">
        <f>VLOOKUP("扭轉戰況", Data!$B:$D,I1,FALSE)&amp;"（3-2-1）"</f>
        <v>扭轉戰況（3-2-1）</v>
      </c>
      <c r="D324" s="280" t="s">
        <v>3559</v>
      </c>
    </row>
    <row r="325" spans="1:4" s="79" customFormat="1" ht="14.5">
      <c r="A325" s="550" t="str">
        <f>VLOOKUP("運籌帷幄", Data!$B:$D,I1,FALSE)</f>
        <v>運籌帷幄</v>
      </c>
      <c r="B325" s="823"/>
      <c r="C325" s="280" t="str">
        <f>VLOOKUP("要塞缺口", Data!$B:$D,I1,FALSE)&amp;"（3-3-1）"</f>
        <v>要塞缺口（3-3-1）</v>
      </c>
      <c r="D325" s="280" t="s">
        <v>3559</v>
      </c>
    </row>
    <row r="326" spans="1:4" s="79" customFormat="1" ht="14.5">
      <c r="A326" s="550" t="str">
        <f>VLOOKUP("永恆之戰", Data!$B:$D,I1,FALSE)</f>
        <v>永恆之戰</v>
      </c>
      <c r="B326" s="823"/>
      <c r="C326" s="852" t="str">
        <f>VLOOKUP("攻城器械", Data!$B:$D,I1,FALSE)&amp;"（3-5-1）"</f>
        <v>攻城器械（3-5-1）</v>
      </c>
      <c r="D326" s="280" t="s">
        <v>3561</v>
      </c>
    </row>
    <row r="327" spans="1:4" s="79" customFormat="1" ht="14.5">
      <c r="A327" s="550" t="str">
        <f>VLOOKUP("創世起源", Data!$B:$D,I1,FALSE)</f>
        <v>創世起源</v>
      </c>
      <c r="B327" s="823"/>
      <c r="C327" s="852"/>
      <c r="D327" s="280" t="str">
        <f>"听完“"&amp;VLOOKUP("永恆之戰", Data!$B:$D,I1,FALSE)&amp;"”后激活，击杀阿兹莫丹之前对话"</f>
        <v>听完“永恆之戰”后激活，击杀阿兹莫丹之前对话</v>
      </c>
    </row>
    <row r="328" spans="1:4" s="79" customFormat="1" ht="14.5">
      <c r="A328" s="570" t="str">
        <f>VLOOKUP("天堂的隕落", Data!$B:$D,I1,FALSE)</f>
        <v>天堂的隕落</v>
      </c>
      <c r="B328" s="824" t="s">
        <v>3492</v>
      </c>
      <c r="C328" s="853" t="str">
        <f>VLOOKUP("至高天的隕落", Data!$B:$D,I1,FALSE)&amp;"（4-1-1）"</f>
        <v>至高天的隕落（4-1-1）</v>
      </c>
      <c r="D328" s="838" t="s">
        <v>3562</v>
      </c>
    </row>
    <row r="329" spans="1:4" s="79" customFormat="1" ht="14.5">
      <c r="A329" s="570" t="str">
        <f>VLOOKUP("愛德莉雅的背叛", Data!$B:$D,I1,FALSE)</f>
        <v>愛德莉雅的背叛</v>
      </c>
      <c r="B329" s="824"/>
      <c r="C329" s="853"/>
      <c r="D329" s="848"/>
    </row>
    <row r="330" spans="1:4" s="79" customFormat="1" ht="14.5">
      <c r="A330" s="570" t="str">
        <f>VLOOKUP("黑暗流浪者", Data!$B:$D,I1,FALSE)</f>
        <v>黑暗流浪者</v>
      </c>
      <c r="B330" s="824"/>
      <c r="C330" s="853"/>
      <c r="D330" s="839"/>
    </row>
    <row r="331" spans="1:4" s="79" customFormat="1" ht="14.5">
      <c r="A331" s="570" t="str">
        <f>VLOOKUP("至高天", Data!$B:$D,I1,FALSE)</f>
        <v>至高天</v>
      </c>
      <c r="B331" s="824"/>
      <c r="C331" s="853" t="str">
        <f>VLOOKUP("萬惡之源", Data!$B:$D,I1,FALSE)&amp;"（4-4-2）"</f>
        <v>萬惡之源（4-4-2）</v>
      </c>
      <c r="D331" s="838" t="s">
        <v>3563</v>
      </c>
    </row>
    <row r="332" spans="1:4" s="79" customFormat="1" ht="14.5">
      <c r="A332" s="570" t="str">
        <f>VLOOKUP("莉亞的靈魂", Data!$B:$D,I1,FALSE)</f>
        <v>莉亞的靈魂</v>
      </c>
      <c r="B332" s="824"/>
      <c r="C332" s="853"/>
      <c r="D332" s="848"/>
    </row>
    <row r="333" spans="1:4" s="79" customFormat="1" ht="14.5">
      <c r="A333" s="570" t="str">
        <f>VLOOKUP("瑪瑟爾", Data!$B:$D,I1,FALSE)</f>
        <v>瑪瑟爾</v>
      </c>
      <c r="B333" s="824"/>
      <c r="C333" s="853"/>
      <c r="D333" s="848"/>
    </row>
    <row r="334" spans="1:4" s="79" customFormat="1" ht="14.5">
      <c r="A334" s="570" t="str">
        <f>VLOOKUP("瑪瑟爾的際遇", Data!$B:$D,I1,FALSE)</f>
        <v>瑪瑟爾的際遇</v>
      </c>
      <c r="B334" s="824"/>
      <c r="C334" s="853"/>
      <c r="D334" s="848"/>
    </row>
    <row r="335" spans="1:4" s="79" customFormat="1" ht="14.5">
      <c r="A335" s="570" t="str">
        <f>VLOOKUP("萬惡之源", Data!$B:$D,I1,FALSE)</f>
        <v>萬惡之源</v>
      </c>
      <c r="B335" s="824"/>
      <c r="C335" s="853"/>
      <c r="D335" s="839"/>
    </row>
    <row r="336" spans="1:4" s="79" customFormat="1" ht="15" thickBot="1">
      <c r="A336" s="473"/>
      <c r="B336" s="286"/>
    </row>
    <row r="337" spans="1:4" s="79" customFormat="1" ht="23" thickBot="1">
      <c r="A337" s="749" t="str">
        <f>VLOOKUP("巫迷心竅", Data!$B:$D,I1,FALSE)</f>
        <v>巫迷心竅</v>
      </c>
      <c r="B337" s="750"/>
      <c r="C337" s="750"/>
      <c r="D337" s="751"/>
    </row>
    <row r="338" spans="1:4" s="79" customFormat="1" ht="14.5">
      <c r="A338" s="292" t="s">
        <v>3472</v>
      </c>
      <c r="B338" s="284" t="s">
        <v>3473</v>
      </c>
      <c r="C338" s="277" t="s">
        <v>3474</v>
      </c>
      <c r="D338" s="293" t="s">
        <v>2542</v>
      </c>
    </row>
    <row r="339" spans="1:4" s="79" customFormat="1" ht="14.5">
      <c r="A339" s="148" t="str">
        <f>VLOOKUP("勝利的代價", Data!$B:$D,I1,FALSE)</f>
        <v>勝利的代價</v>
      </c>
      <c r="B339" s="828" t="s">
        <v>2684</v>
      </c>
      <c r="C339" s="149" t="str">
        <f>VLOOKUP("肅清卡爾蒂姆", Data!$B:$D,I1,FALSE)&amp;"（2-9-1）"</f>
        <v>肅清卡爾蒂姆（2-9-1）</v>
      </c>
      <c r="D339" s="97" t="s">
        <v>3528</v>
      </c>
    </row>
    <row r="340" spans="1:4" s="79" customFormat="1" ht="16.5" customHeight="1">
      <c r="A340" s="148" t="str">
        <f>VLOOKUP("瘋狂的巫師", Data!$B:$D,I1,FALSE)</f>
        <v>瘋狂的巫師</v>
      </c>
      <c r="B340" s="829"/>
      <c r="C340" s="840" t="str">
        <f>VLOOKUP("赫拉迪姆的背叛者", Data!$B:$D,I1,FALSE)&amp;"（2-6-1）"</f>
        <v>赫拉迪姆的背叛者（2-6-1）</v>
      </c>
      <c r="D340" s="97" t="s">
        <v>3564</v>
      </c>
    </row>
    <row r="341" spans="1:4" s="79" customFormat="1" ht="14.5">
      <c r="A341" s="148" t="str">
        <f>VLOOKUP("泰瑞爾的警告", Data!$B:$D,I1,FALSE)</f>
        <v>泰瑞爾的警告</v>
      </c>
      <c r="B341" s="829"/>
      <c r="C341" s="840"/>
      <c r="D341" s="97" t="str">
        <f>"听完“"&amp;VLOOKUP("瘋狂的巫師", Data!$B:$D,I1,FALSE)&amp;"”后激活，击杀佐敦库勒之前对话"</f>
        <v>听完“瘋狂的巫師”后激活，击杀佐敦库勒之前对话</v>
      </c>
    </row>
    <row r="342" spans="1:4" s="79" customFormat="1" ht="14.5">
      <c r="A342" s="148" t="str">
        <f>VLOOKUP("莉亞的童年", Data!$B:$D,I1,FALSE)</f>
        <v>莉亞的童年</v>
      </c>
      <c r="B342" s="829"/>
      <c r="C342" s="840"/>
      <c r="D342" s="846" t="s">
        <v>3528</v>
      </c>
    </row>
    <row r="343" spans="1:4" s="79" customFormat="1" ht="14.5">
      <c r="A343" s="148" t="str">
        <f>VLOOKUP("愛德莉雅與凱恩", Data!$B:$D,I1,FALSE)</f>
        <v>愛德莉雅與凱恩</v>
      </c>
      <c r="B343" s="829"/>
      <c r="C343" s="840"/>
      <c r="D343" s="846"/>
    </row>
    <row r="344" spans="1:4" s="79" customFormat="1" ht="14.5">
      <c r="A344" s="148" t="str">
        <f>VLOOKUP("使命", Data!$B:$D,I1,FALSE)</f>
        <v>使命</v>
      </c>
      <c r="B344" s="829"/>
      <c r="C344" s="149" t="str">
        <f>VLOOKUP("血染黃沙", Data!$B:$D,I1,FALSE)&amp;"（2-7-1）"</f>
        <v>血染黃沙（2-7-1）</v>
      </c>
      <c r="D344" s="846"/>
    </row>
    <row r="345" spans="1:4" s="79" customFormat="1" ht="14.5">
      <c r="A345" s="148" t="str">
        <f>VLOOKUP("愛德莉雅受擒", Data!$B:$D,I1,FALSE)</f>
        <v>愛德莉雅受擒</v>
      </c>
      <c r="B345" s="829"/>
      <c r="C345" s="149" t="str">
        <f>VLOOKUP("赫拉迪姆的背叛者", Data!$B:$D,I1,FALSE)&amp;"（2-6-1）"</f>
        <v>赫拉迪姆的背叛者（2-6-1）</v>
      </c>
      <c r="D345" s="97" t="s">
        <v>3546</v>
      </c>
    </row>
    <row r="346" spans="1:4" s="79" customFormat="1" ht="14.5">
      <c r="A346" s="148" t="str">
        <f>VLOOKUP("彼列與靈魂石", Data!$B:$D,I1,FALSE)</f>
        <v>彼列與靈魂石</v>
      </c>
      <c r="B346" s="829"/>
      <c r="C346" s="149" t="str">
        <f>VLOOKUP("血染黃沙", Data!$B:$D,I1,FALSE)&amp;"（2-7-1）"</f>
        <v>血染黃沙（2-7-1）</v>
      </c>
      <c r="D346" s="97" t="s">
        <v>3527</v>
      </c>
    </row>
    <row r="347" spans="1:4" s="79" customFormat="1" ht="14.5">
      <c r="A347" s="148" t="str">
        <f>VLOOKUP("愛德莉雅的任務", Data!$B:$D,I1,FALSE)</f>
        <v>愛德莉雅的任務</v>
      </c>
      <c r="B347" s="829"/>
      <c r="C347" s="840" t="str">
        <f>VLOOKUP("肅清卡爾蒂姆", Data!$B:$D,I1,FALSE)&amp;"（2-9-1）"</f>
        <v>肅清卡爾蒂姆（2-9-1）</v>
      </c>
      <c r="D347" s="846" t="s">
        <v>3528</v>
      </c>
    </row>
    <row r="348" spans="1:4" s="79" customFormat="1" ht="14.5">
      <c r="A348" s="148" t="str">
        <f>VLOOKUP("封印彼列", Data!$B:$D,I1,FALSE)</f>
        <v>封印彼列</v>
      </c>
      <c r="B348" s="829"/>
      <c r="C348" s="840"/>
      <c r="D348" s="846"/>
    </row>
    <row r="349" spans="1:4" s="79" customFormat="1" ht="14.5">
      <c r="A349" s="148" t="str">
        <f>VLOOKUP("魔法", Data!$B:$D,I1,FALSE)</f>
        <v>魔法</v>
      </c>
      <c r="B349" s="829"/>
      <c r="C349" s="149" t="str">
        <f>VLOOKUP("黑靈魂石", Data!$B:$D,I1,FALSE)&amp;"（2-8-1）"</f>
        <v>黑靈魂石（2-8-1）</v>
      </c>
      <c r="D349" s="846"/>
    </row>
    <row r="350" spans="1:4" s="79" customFormat="1" ht="14.5">
      <c r="A350" s="148" t="str">
        <f>VLOOKUP("你的女兒", Data!$B:$D,I1,FALSE)</f>
        <v>你的女兒</v>
      </c>
      <c r="B350" s="830"/>
      <c r="C350" s="149" t="str">
        <f>VLOOKUP("血染黃沙", Data!$B:$D,I1,FALSE)&amp;"（2-7-1）"</f>
        <v>血染黃沙（2-7-1）</v>
      </c>
      <c r="D350" s="846"/>
    </row>
    <row r="351" spans="1:4" s="79" customFormat="1" ht="14.5">
      <c r="A351" s="565" t="str">
        <f>VLOOKUP("阿茲莫丹", Data!$B:$D,I1,FALSE)</f>
        <v>阿茲莫丹</v>
      </c>
      <c r="B351" s="833" t="s">
        <v>2694</v>
      </c>
      <c r="C351" s="280" t="str">
        <f>VLOOKUP("戍衛要塞圍困", Data!$B:$D,I1,FALSE)&amp;"（3-1-1）"</f>
        <v>戍衛要塞圍困（3-1-1）</v>
      </c>
      <c r="D351" s="218" t="s">
        <v>3565</v>
      </c>
    </row>
    <row r="352" spans="1:4" s="79" customFormat="1" ht="14.5">
      <c r="A352" s="565" t="str">
        <f>VLOOKUP("受難（受苦）", Data!$B:$D,I1,FALSE)</f>
        <v>受難（受苦）</v>
      </c>
      <c r="B352" s="841"/>
      <c r="C352" s="280" t="str">
        <f>VLOOKUP("扭轉戰況", Data!$B:$D,I1,FALSE)&amp;"（3-2-1）"</f>
        <v>扭轉戰況（3-2-1）</v>
      </c>
      <c r="D352" s="218" t="s">
        <v>3552</v>
      </c>
    </row>
    <row r="353" spans="1:4" s="79" customFormat="1" ht="15" thickBot="1">
      <c r="A353" s="569" t="str">
        <f>VLOOKUP("戰爭結束後", Data!$B:$D,I1,FALSE)</f>
        <v>戰爭結束後</v>
      </c>
      <c r="B353" s="854"/>
      <c r="C353" s="308" t="str">
        <f>VLOOKUP("攻城器械", Data!$B:$D,I1,FALSE)&amp;"（3-5-1）"</f>
        <v>攻城器械（3-5-1）</v>
      </c>
      <c r="D353" s="222" t="s">
        <v>3530</v>
      </c>
    </row>
    <row r="354" spans="1:4" s="79" customFormat="1" ht="15" thickBot="1">
      <c r="A354" s="473"/>
      <c r="B354" s="286"/>
    </row>
    <row r="355" spans="1:4" s="79" customFormat="1" ht="23" thickBot="1">
      <c r="A355" s="749" t="str">
        <f>VLOOKUP("智慧雋語", Data!$B:$D,I1,FALSE)</f>
        <v>智慧雋語</v>
      </c>
      <c r="B355" s="750"/>
      <c r="C355" s="750"/>
      <c r="D355" s="751"/>
    </row>
    <row r="356" spans="1:4" s="79" customFormat="1" ht="14.5">
      <c r="A356" s="292" t="s">
        <v>3472</v>
      </c>
      <c r="B356" s="284" t="s">
        <v>3473</v>
      </c>
      <c r="C356" s="277" t="s">
        <v>3474</v>
      </c>
      <c r="D356" s="293" t="s">
        <v>2542</v>
      </c>
    </row>
    <row r="357" spans="1:4" s="79" customFormat="1" ht="14.5">
      <c r="A357" s="126" t="str">
        <f>VLOOKUP("瑪瑟爾", Data!$B:$D,I1,FALSE)</f>
        <v>瑪瑟爾</v>
      </c>
      <c r="B357" s="855" t="s">
        <v>3586</v>
      </c>
      <c r="C357" s="283" t="str">
        <f>VLOOKUP("亡者之魂", Data!$B:$D,I1,FALSE)&amp;"（5-2-1）"</f>
        <v>亡者之魂（5-2-1）</v>
      </c>
      <c r="D357" s="858" t="s">
        <v>3599</v>
      </c>
    </row>
    <row r="358" spans="1:4" s="79" customFormat="1" ht="14.5">
      <c r="A358" s="126" t="str">
        <f>VLOOKUP("天使", Data!$B:$D,I1,FALSE)</f>
        <v>天使</v>
      </c>
      <c r="B358" s="856"/>
      <c r="C358" s="283" t="str">
        <f>VLOOKUP("女巫", Data!$B:$D,I1,FALSE)&amp;"（5-4-2）"</f>
        <v>女巫（5-4-2）</v>
      </c>
      <c r="D358" s="859"/>
    </row>
    <row r="359" spans="1:4" s="79" customFormat="1" ht="14.5">
      <c r="A359" s="126" t="str">
        <f>VLOOKUP("瑪瑟爾的奪魂者", Data!$B:$D,I1,FALSE)</f>
        <v>瑪瑟爾的奪魂者</v>
      </c>
      <c r="B359" s="856"/>
      <c r="C359" s="283" t="str">
        <f>VLOOKUP("亡者之魂", Data!$B:$D,I1,FALSE)&amp;"（5-2-1）"</f>
        <v>亡者之魂（5-2-1）</v>
      </c>
      <c r="D359" s="309" t="s">
        <v>3591</v>
      </c>
    </row>
    <row r="360" spans="1:4" s="79" customFormat="1" ht="14.5">
      <c r="A360" s="126" t="str">
        <f>VLOOKUP("手下留情", Data!$B:$D,I1,FALSE)</f>
        <v>手下留情</v>
      </c>
      <c r="B360" s="856"/>
      <c r="C360" s="283" t="str">
        <f>VLOOKUP("死亡使者", Data!$B:$D,I1,FALSE)&amp;"（5-3-2）"</f>
        <v>死亡使者（5-3-2）</v>
      </c>
      <c r="D360" s="309" t="str">
        <f>"听完“"&amp;VLOOKUP("瑪瑟爾", Data!$B:$D,I1,FALSE)&amp;"”后激活"</f>
        <v>听完“瑪瑟爾”后激活</v>
      </c>
    </row>
    <row r="361" spans="1:4" s="79" customFormat="1" ht="14.5">
      <c r="A361" s="126" t="str">
        <f>VLOOKUP("泰瑞爾的心情", Data!$B:$D,I1,FALSE)</f>
        <v>泰瑞爾的心情</v>
      </c>
      <c r="B361" s="856"/>
      <c r="C361" s="283" t="str">
        <f>VLOOKUP("女巫", Data!$B:$D,I1,FALSE)&amp;"（5-4-1）"</f>
        <v>女巫（5-4-1）</v>
      </c>
      <c r="D361" s="858" t="s">
        <v>3599</v>
      </c>
    </row>
    <row r="362" spans="1:4" s="79" customFormat="1" ht="14.5">
      <c r="A362" s="126" t="str">
        <f>VLOOKUP("泰瑞爾的痛楚", Data!$B:$D,I1,FALSE)</f>
        <v>泰瑞爾的痛楚</v>
      </c>
      <c r="B362" s="856"/>
      <c r="C362" s="283" t="str">
        <f>VLOOKUP("死亡使者", Data!$B:$D,I1,FALSE)&amp;"（5-3-2）"</f>
        <v>死亡使者（5-3-2）</v>
      </c>
      <c r="D362" s="860"/>
    </row>
    <row r="363" spans="1:4" s="79" customFormat="1" ht="14.5">
      <c r="A363" s="126" t="str">
        <f>VLOOKUP("靈魂石碎片", Data!$B:$D,I1,FALSE)</f>
        <v>靈魂石碎片</v>
      </c>
      <c r="B363" s="856"/>
      <c r="C363" s="283" t="str">
        <f>VLOOKUP("亡者之魂", Data!$B:$D,I1,FALSE)&amp;"（5-2-3）"</f>
        <v>亡者之魂（5-2-3）</v>
      </c>
      <c r="D363" s="860"/>
    </row>
    <row r="364" spans="1:4" s="79" customFormat="1" ht="14.5">
      <c r="A364" s="126" t="str">
        <f>VLOOKUP("碎片", Data!$B:$D,I1,FALSE)</f>
        <v>碎片</v>
      </c>
      <c r="B364" s="856"/>
      <c r="C364" s="283" t="str">
        <f>VLOOKUP("亡者之魂", Data!$B:$D,I1,FALSE)&amp;"（5-2-1）"</f>
        <v>亡者之魂（5-2-1）</v>
      </c>
      <c r="D364" s="860"/>
    </row>
    <row r="365" spans="1:4" s="79" customFormat="1" ht="14.5">
      <c r="A365" s="126" t="str">
        <f>VLOOKUP("黑靈魂石", Data!$B:$D,I1,FALSE)</f>
        <v>黑靈魂石</v>
      </c>
      <c r="B365" s="856"/>
      <c r="C365" s="861" t="str">
        <f>VLOOKUP("死亡使者", Data!$B:$D,I1,FALSE)&amp;"（5-3-2）"</f>
        <v>死亡使者（5-3-2）</v>
      </c>
      <c r="D365" s="860"/>
    </row>
    <row r="366" spans="1:4" s="79" customFormat="1" ht="14.5">
      <c r="A366" s="126" t="str">
        <f>VLOOKUP("厄傑爾", Data!$B:$D,I1,FALSE)</f>
        <v>厄傑爾</v>
      </c>
      <c r="B366" s="856"/>
      <c r="C366" s="862"/>
      <c r="D366" s="859"/>
    </row>
    <row r="367" spans="1:4" s="79" customFormat="1" ht="14.5">
      <c r="A367" s="126" t="str">
        <f>VLOOKUP("混沌界", Data!$B:$D,I1,FALSE)</f>
        <v>混沌界</v>
      </c>
      <c r="B367" s="856"/>
      <c r="C367" s="861" t="str">
        <f>VLOOKUP("攻城要塞", Data!$B:$D,I1,FALSE)&amp;"（5-7-1）"</f>
        <v>攻城要塞（5-7-1）</v>
      </c>
      <c r="D367" s="858" t="s">
        <v>3603</v>
      </c>
    </row>
    <row r="368" spans="1:4" s="79" customFormat="1" ht="14.5">
      <c r="A368" s="126" t="str">
        <f>VLOOKUP("瑪瑟爾的失蹤", Data!$B:$D,I1,FALSE)</f>
        <v>瑪瑟爾的失蹤</v>
      </c>
      <c r="B368" s="856"/>
      <c r="C368" s="863"/>
      <c r="D368" s="860"/>
    </row>
    <row r="369" spans="1:4" s="79" customFormat="1" ht="14.5">
      <c r="A369" s="126" t="str">
        <f>VLOOKUP("要塞", Data!$B:$D,I1,FALSE)</f>
        <v>要塞</v>
      </c>
      <c r="B369" s="856"/>
      <c r="C369" s="862"/>
      <c r="D369" s="859"/>
    </row>
    <row r="370" spans="1:4" s="79" customFormat="1" ht="15" thickBot="1">
      <c r="A370" s="133" t="str">
        <f>VLOOKUP("混沌界要塞", Data!$B:$D,I1,FALSE)</f>
        <v>混沌界要塞</v>
      </c>
      <c r="B370" s="857"/>
      <c r="C370" s="310" t="str">
        <f>VLOOKUP("歿天使", Data!$B:$D,I1,FALSE)&amp;"（5-8-1）"</f>
        <v>歿天使（5-8-1）</v>
      </c>
      <c r="D370" s="311" t="s">
        <v>3604</v>
      </c>
    </row>
    <row r="371" spans="1:4" s="79" customFormat="1" ht="15" thickBot="1">
      <c r="A371" s="473"/>
      <c r="B371" s="286"/>
    </row>
    <row r="372" spans="1:4" s="79" customFormat="1" ht="23" thickBot="1">
      <c r="A372" s="749" t="str">
        <f>VLOOKUP("見多識廣的羅拉斯", Data!$B:$D,I1,FALSE)</f>
        <v>見多識廣的羅拉斯</v>
      </c>
      <c r="B372" s="750"/>
      <c r="C372" s="750"/>
      <c r="D372" s="751"/>
    </row>
    <row r="373" spans="1:4" s="79" customFormat="1" ht="14.5">
      <c r="A373" s="292" t="s">
        <v>3472</v>
      </c>
      <c r="B373" s="284" t="s">
        <v>3473</v>
      </c>
      <c r="C373" s="277" t="s">
        <v>3474</v>
      </c>
      <c r="D373" s="293" t="s">
        <v>2542</v>
      </c>
    </row>
    <row r="374" spans="1:4" s="79" customFormat="1" ht="14.5">
      <c r="A374" s="126" t="str">
        <f>VLOOKUP("擊敗迪亞布羅", Data!$B:$D,I1,FALSE)</f>
        <v>擊敗迪亞布羅</v>
      </c>
      <c r="B374" s="855" t="s">
        <v>3586</v>
      </c>
      <c r="C374" s="283" t="str">
        <f>VLOOKUP("亡者之魂", Data!$B:$D,I1,FALSE)&amp;"（5-2-3）"</f>
        <v>亡者之魂（5-2-3）</v>
      </c>
      <c r="D374" s="309" t="s">
        <v>3597</v>
      </c>
    </row>
    <row r="375" spans="1:4" s="79" customFormat="1" ht="14.5">
      <c r="A375" s="126" t="str">
        <f>VLOOKUP("赫拉迪姆兄弟會", Data!$B:$D,I1,FALSE)</f>
        <v>赫拉迪姆兄弟會</v>
      </c>
      <c r="B375" s="856"/>
      <c r="C375" s="283" t="str">
        <f>VLOOKUP("亡者之魂", Data!$B:$D,I1,FALSE)&amp;"（5-2-1）"</f>
        <v>亡者之魂（5-2-1）</v>
      </c>
      <c r="D375" s="309"/>
    </row>
    <row r="376" spans="1:4" s="79" customFormat="1" ht="14.5">
      <c r="A376" s="126" t="str">
        <f>VLOOKUP("羅拉斯的故事", Data!$B:$D,I1,FALSE)</f>
        <v>羅拉斯的故事</v>
      </c>
      <c r="B376" s="856"/>
      <c r="C376" s="283" t="str">
        <f>VLOOKUP("亡者之魂", Data!$B:$D,I1,FALSE)&amp;"（5-2-3）"</f>
        <v>亡者之魂（5-2-3）</v>
      </c>
      <c r="D376" s="309" t="s">
        <v>3597</v>
      </c>
    </row>
    <row r="377" spans="1:4" s="79" customFormat="1" ht="14.5">
      <c r="A377" s="126" t="str">
        <f>VLOOKUP("重建衛斯馬屈", Data!$B:$D,I1,FALSE)</f>
        <v>重建衛斯馬屈</v>
      </c>
      <c r="B377" s="856"/>
      <c r="C377" s="283" t="str">
        <f>VLOOKUP("永恆戰場", Data!$B:$D,I1,FALSE)&amp;"（5-6-2）"</f>
        <v>永恆戰場（5-6-2）</v>
      </c>
      <c r="D377" s="309"/>
    </row>
    <row r="378" spans="1:4" s="79" customFormat="1" ht="14.5">
      <c r="A378" s="126" t="str">
        <f>VLOOKUP("新赫拉迪姆", Data!$B:$D,I1,FALSE)</f>
        <v>新赫拉迪姆</v>
      </c>
      <c r="B378" s="856"/>
      <c r="C378" s="283" t="str">
        <f>VLOOKUP("攻城要塞", Data!$B:$D,I1,FALSE)&amp;"（5-7-1）"</f>
        <v>攻城要塞（5-7-1）</v>
      </c>
      <c r="D378" s="309"/>
    </row>
    <row r="379" spans="1:4" s="79" customFormat="1" ht="14.5">
      <c r="A379" s="126" t="str">
        <f>VLOOKUP("混沌界", Data!$B:$D,I1,FALSE)</f>
        <v>混沌界</v>
      </c>
      <c r="B379" s="856"/>
      <c r="C379" s="283" t="str">
        <f>VLOOKUP("歿天使", Data!$B:$D,I1,FALSE)&amp;"（5-8-1）"</f>
        <v>歿天使（5-8-1）</v>
      </c>
      <c r="D379" s="309" t="s">
        <v>3605</v>
      </c>
    </row>
    <row r="380" spans="1:4" s="79" customFormat="1" ht="14.5">
      <c r="A380" s="126" t="str">
        <f>VLOOKUP("迪卡·凱恩", Data!$B:$D,I1,FALSE)</f>
        <v>迪卡·凱恩</v>
      </c>
      <c r="B380" s="856"/>
      <c r="C380" s="283" t="str">
        <f>VLOOKUP("死亡使者", Data!$B:$D,I1,FALSE)&amp;"（5-3-1）"</f>
        <v>死亡使者（5-3-1）</v>
      </c>
      <c r="D380" s="309"/>
    </row>
    <row r="381" spans="1:4" s="79" customFormat="1" ht="14.5">
      <c r="A381" s="126" t="str">
        <f>VLOOKUP("摧毀靈魂石", Data!$B:$D,I1,FALSE)</f>
        <v>摧毀靈魂石</v>
      </c>
      <c r="B381" s="856"/>
      <c r="C381" s="283" t="str">
        <f>VLOOKUP("死亡使者", Data!$B:$D,I1,FALSE)&amp;"（5-3-2）"</f>
        <v>死亡使者（5-3-2）</v>
      </c>
      <c r="D381" s="309"/>
    </row>
    <row r="382" spans="1:4" s="79" customFormat="1" ht="15" thickBot="1">
      <c r="A382" s="133" t="str">
        <f>VLOOKUP("混沌界要塞", Data!$B:$D,I1,FALSE)</f>
        <v>混沌界要塞</v>
      </c>
      <c r="B382" s="857"/>
      <c r="C382" s="310" t="str">
        <f>VLOOKUP("永恆戰場", Data!$B:$D,I1,FALSE)&amp;"（5-6-1）"</f>
        <v>永恆戰場（5-6-1）</v>
      </c>
      <c r="D382" s="311"/>
    </row>
    <row r="383" spans="1:4" s="79" customFormat="1" ht="15" thickBot="1">
      <c r="A383" s="473"/>
      <c r="B383" s="286"/>
    </row>
    <row r="384" spans="1:4" s="79" customFormat="1" ht="23" thickBot="1">
      <c r="A384" s="749" t="str">
        <f>VLOOKUP("將軍有令", Data!$B:$D,I1,FALSE)</f>
        <v>將軍有令</v>
      </c>
      <c r="B384" s="750"/>
      <c r="C384" s="750"/>
      <c r="D384" s="751"/>
    </row>
    <row r="385" spans="1:4" s="79" customFormat="1" ht="14.5">
      <c r="A385" s="292" t="s">
        <v>3472</v>
      </c>
      <c r="B385" s="284" t="s">
        <v>3473</v>
      </c>
      <c r="C385" s="277" t="s">
        <v>3474</v>
      </c>
      <c r="D385" s="293" t="s">
        <v>2542</v>
      </c>
    </row>
    <row r="386" spans="1:4" s="79" customFormat="1" ht="14.5">
      <c r="A386" s="126" t="str">
        <f>VLOOKUP("加斯提安國王之死", Data!$B:$D,I1,FALSE)</f>
        <v>加斯提安國王之死</v>
      </c>
      <c r="B386" s="855" t="s">
        <v>3586</v>
      </c>
      <c r="C386" s="283" t="str">
        <f>VLOOKUP("死亡使者", Data!$B:$D,I1,FALSE)&amp;"（5-3-2）"</f>
        <v>死亡使者（5-3-2）</v>
      </c>
      <c r="D386" s="309" t="str">
        <f>"完成衛斯馬屈山城區任务“"&amp;VLOOKUP("狼王的真子", Data!$B:$D,I1,FALSE)&amp;"”后激活"</f>
        <v>完成衛斯馬屈山城區任务“狼王的真子”后激活</v>
      </c>
    </row>
    <row r="387" spans="1:4" s="79" customFormat="1" ht="14.5">
      <c r="A387" s="126" t="str">
        <f>VLOOKUP("奮戰到底", Data!$B:$D,I1,FALSE)</f>
        <v>奮戰到底</v>
      </c>
      <c r="B387" s="856"/>
      <c r="C387" s="861" t="str">
        <f>VLOOKUP("亡者之魂", Data!$B:$D,I1,FALSE)&amp;"（5-2-3）"</f>
        <v>亡者之魂（5-2-3）</v>
      </c>
      <c r="D387" s="309"/>
    </row>
    <row r="388" spans="1:4" s="79" customFormat="1" ht="15" thickBot="1">
      <c r="A388" s="133" t="str">
        <f>VLOOKUP("救兵", Data!$B:$D,I1,FALSE)</f>
        <v>救兵</v>
      </c>
      <c r="B388" s="857"/>
      <c r="C388" s="864"/>
      <c r="D388" s="311" t="str">
        <f>"听完“"&amp;VLOOKUP("奮戰到底",Data!$B:$D,I1,FALSE)&amp;"”后激活"</f>
        <v>听完“奮戰到底”后激活</v>
      </c>
    </row>
    <row r="389" spans="1:4" s="79" customFormat="1" ht="15" thickBot="1">
      <c r="A389" s="473"/>
      <c r="B389" s="286"/>
    </row>
    <row r="390" spans="1:4" s="79" customFormat="1" ht="23" thickBot="1">
      <c r="A390" s="749" t="str">
        <f>VLOOKUP("大義滅團", Data!$B:$D,I1,FALSE)</f>
        <v>大義滅團</v>
      </c>
      <c r="B390" s="750"/>
      <c r="C390" s="750"/>
      <c r="D390" s="751"/>
    </row>
    <row r="391" spans="1:4" s="79" customFormat="1" ht="14.5">
      <c r="A391" s="292" t="s">
        <v>3472</v>
      </c>
      <c r="B391" s="284" t="s">
        <v>3473</v>
      </c>
      <c r="C391" s="277" t="s">
        <v>3474</v>
      </c>
      <c r="D391" s="293" t="s">
        <v>2542</v>
      </c>
    </row>
    <row r="392" spans="1:4" s="79" customFormat="1" ht="14.5">
      <c r="A392" s="126" t="str">
        <f>VLOOKUP("寇馬可的不安", Data!$B:$D,I1,FALSE)</f>
        <v>寇馬可的不安</v>
      </c>
      <c r="B392" s="855" t="s">
        <v>3586</v>
      </c>
      <c r="C392" s="283" t="str">
        <f>VLOOKUP("亡者之魂", Data!$B:$D,I1,FALSE)&amp;"（5-2-1）"</f>
        <v>亡者之魂（5-2-1）</v>
      </c>
      <c r="D392" s="309" t="s">
        <v>6051</v>
      </c>
    </row>
    <row r="393" spans="1:4" s="79" customFormat="1" ht="14.5">
      <c r="A393" s="126" t="str">
        <f>VLOOKUP("團長", Data!$B:$D,I1,FALSE)</f>
        <v>團長</v>
      </c>
      <c r="B393" s="856"/>
      <c r="C393" s="861" t="str">
        <f>VLOOKUP("死亡使者", Data!$B:$D,I1,FALSE)&amp;"（5-3-1）"</f>
        <v>死亡使者（5-3-1）</v>
      </c>
      <c r="D393" s="309" t="str">
        <f>"注意一定先听上一段对话“"&amp;VLOOKUP("寇馬可的不安", Data!$B:$D,I1,FALSE)&amp;"”再听这一段"</f>
        <v>注意一定先听上一段对话“寇馬可的不安”再听这一段</v>
      </c>
    </row>
    <row r="394" spans="1:4" s="79" customFormat="1" ht="14.5">
      <c r="A394" s="126" t="str">
        <f>VLOOKUP("騎士團的墮落", Data!$B:$D,I1,FALSE)</f>
        <v>騎士團的墮落</v>
      </c>
      <c r="B394" s="856"/>
      <c r="C394" s="862"/>
      <c r="D394" s="309" t="s">
        <v>3639</v>
      </c>
    </row>
    <row r="395" spans="1:4" s="79" customFormat="1" ht="14.5">
      <c r="A395" s="126" t="str">
        <f>VLOOKUP("心中的平靜", Data!$B:$D,I1,FALSE)</f>
        <v>心中的平靜</v>
      </c>
      <c r="B395" s="856"/>
      <c r="C395" s="283" t="str">
        <f>VLOOKUP("混沌界之門", Data!$B:$D,I1,FALSE)&amp;"（5-5-1）"</f>
        <v>混沌界之門（5-5-1）</v>
      </c>
      <c r="D395" s="309" t="str">
        <f>"听完“"&amp;VLOOKUP("騎士團的墮落", Data!$B:$D,I1,FALSE)&amp;"”后激活"</f>
        <v>听完“騎士團的墮落”后激活</v>
      </c>
    </row>
    <row r="396" spans="1:4" s="79" customFormat="1" ht="14.5">
      <c r="A396" s="126" t="str">
        <f>VLOOKUP("未來", Data!$B:$D,I1,FALSE)</f>
        <v>未來</v>
      </c>
      <c r="B396" s="856"/>
      <c r="C396" s="861" t="str">
        <f>VLOOKUP("永恆戰場", Data!$B:$D,I1,FALSE)&amp;"（5-6-1）"</f>
        <v>永恆戰場（5-6-1）</v>
      </c>
      <c r="D396" s="309" t="str">
        <f>"听完“"&amp;VLOOKUP("心中的平靜", Data!$B:$D,I1,FALSE)&amp;"”后激活"</f>
        <v>听完“心中的平靜”后激活</v>
      </c>
    </row>
    <row r="397" spans="1:4" s="79" customFormat="1" ht="14.5">
      <c r="A397" s="126" t="str">
        <f>VLOOKUP("和艾蓮娜聊聊", Data!$B:$D,I1,FALSE)</f>
        <v>和艾蓮娜聊聊</v>
      </c>
      <c r="B397" s="856"/>
      <c r="C397" s="863"/>
      <c r="D397" s="309" t="str">
        <f>"听完“"&amp;VLOOKUP("未來",Data!$B:$D,I1,FALSE)&amp;"”后激活"</f>
        <v>听完“未來”后激活</v>
      </c>
    </row>
    <row r="398" spans="1:4" s="79" customFormat="1" ht="15" thickBot="1">
      <c r="A398" s="133" t="str">
        <f>VLOOKUP("與艾蓮娜的未來", Data!$B:$D,I1,FALSE)</f>
        <v>與艾蓮娜的未來</v>
      </c>
      <c r="B398" s="857"/>
      <c r="C398" s="864"/>
      <c r="D398" s="309" t="str">
        <f>"听完“"&amp;VLOOKUP("和艾蓮娜聊聊", Data!$B:$D,I1,FALSE)&amp;"”后激活"</f>
        <v>听完“和艾蓮娜聊聊”后激活</v>
      </c>
    </row>
    <row r="399" spans="1:4" s="79" customFormat="1" ht="15" thickBot="1">
      <c r="A399" s="473"/>
      <c r="B399" s="286"/>
    </row>
    <row r="400" spans="1:4" s="79" customFormat="1" ht="23" thickBot="1">
      <c r="A400" s="749" t="str">
        <f>VLOOKUP("哥哥的守護者", Data!$B:$D,I1,FALSE)</f>
        <v>哥哥的守護者</v>
      </c>
      <c r="B400" s="750"/>
      <c r="C400" s="750"/>
      <c r="D400" s="751"/>
    </row>
    <row r="401" spans="1:4" s="79" customFormat="1" ht="14.5">
      <c r="A401" s="292" t="s">
        <v>3472</v>
      </c>
      <c r="B401" s="284" t="s">
        <v>3473</v>
      </c>
      <c r="C401" s="277" t="s">
        <v>3474</v>
      </c>
      <c r="D401" s="293" t="s">
        <v>2542</v>
      </c>
    </row>
    <row r="402" spans="1:4" s="79" customFormat="1" ht="14.5">
      <c r="A402" s="126" t="str">
        <f>VLOOKUP("日漸增長的恐懼", Data!$B:$D,I1,FALSE)</f>
        <v>日漸增長的恐懼</v>
      </c>
      <c r="B402" s="855" t="s">
        <v>3586</v>
      </c>
      <c r="C402" s="283" t="str">
        <f>VLOOKUP("亡者之魂", Data!$B:$D,I1,FALSE)&amp;"（5-2-3）"</f>
        <v>亡者之魂（5-2-3）</v>
      </c>
      <c r="D402" s="309"/>
    </row>
    <row r="403" spans="1:4" s="79" customFormat="1" ht="14.5">
      <c r="A403" s="126" t="str">
        <f>VLOOKUP("不安", Data!$B:$D,I1,FALSE)</f>
        <v>不安</v>
      </c>
      <c r="B403" s="856"/>
      <c r="C403" s="867" t="str">
        <f>VLOOKUP("死亡使者", Data!$B:$D,I1,FALSE)&amp;"（5-3-1）"</f>
        <v>死亡使者（5-3-1）</v>
      </c>
      <c r="D403" s="309" t="str">
        <f>"听完“"&amp;VLOOKUP("日漸增長的恐懼", Data!$B:$D,I1,FALSE)&amp;"”后激活"</f>
        <v>听完“日漸增長的恐懼”后激活</v>
      </c>
    </row>
    <row r="404" spans="1:4" s="79" customFormat="1" ht="14.5">
      <c r="A404" s="126" t="str">
        <f>VLOOKUP("偷來的人生", Data!$B:$D,I1,FALSE)</f>
        <v>偷來的人生</v>
      </c>
      <c r="B404" s="856"/>
      <c r="C404" s="867"/>
      <c r="D404" s="309" t="s">
        <v>3646</v>
      </c>
    </row>
    <row r="405" spans="1:4" s="79" customFormat="1" ht="14.5">
      <c r="A405" s="126" t="str">
        <f>VLOOKUP("借酒澆愁", Data!$B:$D,I1,FALSE)</f>
        <v>借酒澆愁</v>
      </c>
      <c r="B405" s="856"/>
      <c r="C405" s="867" t="str">
        <f>VLOOKUP("永恆戰場", Data!$B:$D,I1,FALSE)&amp;"（5-6-1）"</f>
        <v>永恆戰場（5-6-1）</v>
      </c>
      <c r="D405" s="309" t="str">
        <f>"听完“"&amp;VLOOKUP("偷來的人生", Data!$B:$D,I1,FALSE)&amp;"”后激活"</f>
        <v>听完“偷來的人生”后激活</v>
      </c>
    </row>
    <row r="406" spans="1:4" s="79" customFormat="1" ht="14.5">
      <c r="A406" s="126" t="str">
        <f>VLOOKUP("幫林登的忙", Data!$B:$D,I1,FALSE)</f>
        <v>幫林登的忙</v>
      </c>
      <c r="B406" s="856"/>
      <c r="C406" s="867"/>
      <c r="D406" s="309" t="str">
        <f>"听完“"&amp;VLOOKUP("借酒澆愁", Data!$B:$D,I1,FALSE)&amp;"”后激活，找海德格对话"</f>
        <v>听完“借酒澆愁”后激活，找海德格对话</v>
      </c>
    </row>
    <row r="407" spans="1:4" s="79" customFormat="1" ht="15" thickBot="1">
      <c r="A407" s="133" t="str">
        <f>VLOOKUP("匕首裡的字條", Data!$B:$D,I1,FALSE)</f>
        <v>匕首裡的字條</v>
      </c>
      <c r="B407" s="857"/>
      <c r="C407" s="310" t="str">
        <f>VLOOKUP("歿天使", Data!$B:$D,I1,FALSE)&amp;"（5-8-1）"</f>
        <v>歿天使（5-8-1）</v>
      </c>
      <c r="D407" s="311" t="str">
        <f>"听完“"&amp;VLOOKUP("幫林登的忙", Data!$B:$D,I1,FALSE)&amp;"”后激活"</f>
        <v>听完“幫林登的忙”后激活</v>
      </c>
    </row>
    <row r="408" spans="1:4" s="79" customFormat="1" ht="15" thickBot="1">
      <c r="A408" s="473"/>
      <c r="B408" s="286"/>
    </row>
    <row r="409" spans="1:4" s="79" customFormat="1" ht="23" thickBot="1">
      <c r="A409" s="749" t="str">
        <f>VLOOKUP("女人心事", Data!$B:$D,I1,FALSE)</f>
        <v>女人心事</v>
      </c>
      <c r="B409" s="750"/>
      <c r="C409" s="750"/>
      <c r="D409" s="751"/>
    </row>
    <row r="410" spans="1:4" s="79" customFormat="1" ht="14.5">
      <c r="A410" s="292" t="s">
        <v>3472</v>
      </c>
      <c r="B410" s="284" t="s">
        <v>3473</v>
      </c>
      <c r="C410" s="277" t="s">
        <v>3474</v>
      </c>
      <c r="D410" s="293" t="s">
        <v>2542</v>
      </c>
    </row>
    <row r="411" spans="1:4" s="79" customFormat="1" ht="14.5">
      <c r="A411" s="126" t="str">
        <f>VLOOKUP("生還者", Data!$B:$D,I1,FALSE)</f>
        <v>生還者</v>
      </c>
      <c r="B411" s="855" t="s">
        <v>3586</v>
      </c>
      <c r="C411" s="283" t="str">
        <f>VLOOKUP("亡者之魂", Data!$B:$D,I1,FALSE)&amp;"（5-2-1）"</f>
        <v>亡者之魂（5-2-1）</v>
      </c>
      <c r="D411" s="309" t="str">
        <f>"听完“"&amp;VLOOKUP("衛斯馬屈", Data!$B:$D,I1,FALSE)&amp;"”后激活"</f>
        <v>听完“衛斯馬屈”后激活</v>
      </c>
    </row>
    <row r="412" spans="1:4" s="79" customFormat="1" ht="14.5">
      <c r="A412" s="126" t="str">
        <f>VLOOKUP("遺棄", Data!$B:$D,I1,FALSE)</f>
        <v>遺棄</v>
      </c>
      <c r="B412" s="856"/>
      <c r="C412" s="283" t="str">
        <f>VLOOKUP("亡者之魂", Data!$B:$D,I1,FALSE)&amp;"（5-2-3）"</f>
        <v>亡者之魂（5-2-3）</v>
      </c>
      <c r="D412" s="309" t="str">
        <f>"听完“"&amp;VLOOKUP("生還者", Data!$B:$D,I1,FALSE)&amp;"”后激活"</f>
        <v>听完“生還者”后激活</v>
      </c>
    </row>
    <row r="413" spans="1:4" s="79" customFormat="1" ht="14.5">
      <c r="A413" s="126" t="str">
        <f>VLOOKUP("惡魔法術", Data!$B:$D,I1,FALSE)</f>
        <v>惡魔法術</v>
      </c>
      <c r="B413" s="856"/>
      <c r="C413" s="283" t="str">
        <f>VLOOKUP("死亡使者", Data!$B:$D,I1,FALSE)&amp;"（5-3-1）"</f>
        <v>死亡使者（5-3-1）</v>
      </c>
      <c r="D413" s="309" t="str">
        <f>"听完“"&amp;VLOOKUP("遺棄", Data!$B:$D,I1,FALSE)&amp;"”后激活"</f>
        <v>听完“遺棄”后激活</v>
      </c>
    </row>
    <row r="414" spans="1:4" s="79" customFormat="1" ht="14.5">
      <c r="A414" s="126" t="str">
        <f>VLOOKUP("來自遠方的聲音", Data!$B:$D,I1,FALSE)</f>
        <v>來自遠方的聲音</v>
      </c>
      <c r="B414" s="856"/>
      <c r="C414" s="283" t="str">
        <f>VLOOKUP("女巫", Data!$B:$D,I1,FALSE)&amp;"（5-4-1）"</f>
        <v>女巫（5-4-1）</v>
      </c>
      <c r="D414" s="309" t="str">
        <f>"听完“"&amp;VLOOKUP("惡魔法術", Data!$B:$D,I1,FALSE)&amp;"”后激活"</f>
        <v>听完“惡魔法術”后激活</v>
      </c>
    </row>
    <row r="415" spans="1:4" s="79" customFormat="1" ht="14.5">
      <c r="A415" s="126" t="str">
        <f>VLOOKUP("混沌界", Data!$B:$D,I1,FALSE)</f>
        <v>混沌界</v>
      </c>
      <c r="B415" s="856"/>
      <c r="C415" s="867" t="str">
        <f>VLOOKUP("永恆戰場", Data!$B:$D,I1,FALSE)&amp;"（5-6-1）"</f>
        <v>永恆戰場（5-6-1）</v>
      </c>
      <c r="D415" s="309" t="str">
        <f>"听完“"&amp;VLOOKUP("來自遠方的聲音", Data!$B:$D,I1,FALSE)&amp;"”后激活"</f>
        <v>听完“來自遠方的聲音”后激活</v>
      </c>
    </row>
    <row r="416" spans="1:4" s="79" customFormat="1" ht="14.5">
      <c r="A416" s="126" t="str">
        <f>VLOOKUP("麗莎", Data!$B:$D,I1,FALSE)</f>
        <v>麗莎</v>
      </c>
      <c r="B416" s="856"/>
      <c r="C416" s="867"/>
      <c r="D416" s="309" t="s">
        <v>3920</v>
      </c>
    </row>
    <row r="417" spans="1:4" s="79" customFormat="1" ht="15" thickBot="1">
      <c r="A417" s="133" t="str">
        <f>VLOOKUP("新的預言者", Data!$B:$D,I1,FALSE)</f>
        <v>新的預言者</v>
      </c>
      <c r="B417" s="857"/>
      <c r="C417" s="310" t="str">
        <f>VLOOKUP("歿天使", Data!$B:$D,I1,FALSE)&amp;"（5-8-1）"</f>
        <v>歿天使（5-8-1）</v>
      </c>
      <c r="D417" s="311" t="str">
        <f>"听完“"&amp;VLOOKUP("麗莎", Data!$B:$D,I1,FALSE)&amp;"”后激活"</f>
        <v>听完“麗莎”后激活</v>
      </c>
    </row>
    <row r="418" spans="1:4" s="79" customFormat="1" ht="15" thickBot="1">
      <c r="A418" s="473"/>
      <c r="B418" s="286"/>
    </row>
    <row r="419" spans="1:4" s="79" customFormat="1" ht="23" thickBot="1">
      <c r="A419" s="749" t="str">
        <f>VLOOKUP("打鐵趁熱", Data!$B:$D,I1,FALSE)</f>
        <v>打鐵趁熱</v>
      </c>
      <c r="B419" s="750"/>
      <c r="C419" s="750"/>
      <c r="D419" s="751"/>
    </row>
    <row r="420" spans="1:4" s="79" customFormat="1" ht="14.5">
      <c r="A420" s="292" t="s">
        <v>3472</v>
      </c>
      <c r="B420" s="284" t="s">
        <v>3473</v>
      </c>
      <c r="C420" s="277" t="s">
        <v>3474</v>
      </c>
      <c r="D420" s="293" t="s">
        <v>2542</v>
      </c>
    </row>
    <row r="421" spans="1:4" s="79" customFormat="1" ht="14.5">
      <c r="A421" s="126" t="str">
        <f>VLOOKUP("新的伙伴", Data!$B:$D,I1,FALSE)</f>
        <v>新的伙伴</v>
      </c>
      <c r="B421" s="865" t="s">
        <v>3586</v>
      </c>
      <c r="C421" s="283" t="str">
        <f>VLOOKUP("亡者之魂", Data!$B:$D,I1,FALSE)&amp;"（5-2-1）"</f>
        <v>亡者之魂（5-2-1）</v>
      </c>
      <c r="D421" s="309"/>
    </row>
    <row r="422" spans="1:4" s="79" customFormat="1" ht="14.5">
      <c r="A422" s="126" t="str">
        <f>VLOOKUP("風波驟起", Data!$B:$D,I1,FALSE)</f>
        <v>風波驟起</v>
      </c>
      <c r="B422" s="865"/>
      <c r="C422" s="283" t="str">
        <f>VLOOKUP("死亡使者", Data!$B:$D,I1,FALSE)&amp;"（5-3-1）"</f>
        <v>死亡使者（5-3-1）</v>
      </c>
      <c r="D422" s="309" t="str">
        <f>"听完“"&amp;VLOOKUP("新的伙伴", Data!$B:$D,I1,FALSE)&amp;"”后激活"</f>
        <v>听完“新的伙伴”后激活</v>
      </c>
    </row>
    <row r="423" spans="1:4" s="79" customFormat="1" ht="14.5">
      <c r="A423" s="126" t="str">
        <f>VLOOKUP("布萊森", Data!$B:$D,I1,FALSE)</f>
        <v>布萊森</v>
      </c>
      <c r="B423" s="865"/>
      <c r="C423" s="283" t="str">
        <f>VLOOKUP("女巫", Data!$B:$D,I1,FALSE)&amp;"（5-4-1）"</f>
        <v>女巫（5-4-1）</v>
      </c>
      <c r="D423" s="309" t="str">
        <f>"听完“"&amp;VLOOKUP("風波驟起", Data!$B:$D,I1,FALSE)&amp;"”后激活"</f>
        <v>听完“風波驟起”后激活</v>
      </c>
    </row>
    <row r="424" spans="1:4" s="79" customFormat="1" ht="14.5">
      <c r="A424" s="126" t="str">
        <f>VLOOKUP("體悟", Data!$B:$D,I1,FALSE)</f>
        <v>體悟</v>
      </c>
      <c r="B424" s="865"/>
      <c r="C424" s="283" t="str">
        <f>VLOOKUP("永恆戰場", Data!$B:$D,I1,FALSE)&amp;"（5-6-1）"</f>
        <v>永恆戰場（5-6-1）</v>
      </c>
      <c r="D424" s="309" t="str">
        <f>"听完“"&amp;VLOOKUP("布萊森", Data!$B:$D,I1,FALSE)&amp;"”后激活"</f>
        <v>听完“布萊森”后激活</v>
      </c>
    </row>
    <row r="425" spans="1:4" s="79" customFormat="1" ht="14.5">
      <c r="A425" s="126" t="str">
        <f>VLOOKUP("重新鍛鑄", Data!$B:$D,I1,FALSE)</f>
        <v>重新鍛鑄</v>
      </c>
      <c r="B425" s="865"/>
      <c r="C425" s="283" t="str">
        <f>VLOOKUP("歿天使", Data!$B:$D,I1,FALSE)&amp;"（5-8-1）"</f>
        <v>歿天使（5-8-1）</v>
      </c>
      <c r="D425" s="309" t="str">
        <f>"听完“"&amp;VLOOKUP("重新鍛鑄", Data!$B:$D,I1,FALSE)&amp;"”后激活"</f>
        <v>听完“重新鍛鑄”后激活</v>
      </c>
    </row>
    <row r="426" spans="1:4" s="79" customFormat="1" ht="15" thickBot="1">
      <c r="A426" s="133" t="str">
        <f>VLOOKUP("看法", Data!$B:$D,I1,FALSE)</f>
        <v>看法</v>
      </c>
      <c r="B426" s="866"/>
      <c r="C426" s="310" t="str">
        <f>VLOOKUP("亡者之魂", Data!$B:$D,I1,FALSE)&amp;"（5-2-1）"</f>
        <v>亡者之魂（5-2-1）</v>
      </c>
      <c r="D426" s="311"/>
    </row>
    <row r="427" spans="1:4" s="79" customFormat="1" ht="15" thickBot="1">
      <c r="A427" s="473"/>
      <c r="B427" s="286"/>
    </row>
    <row r="428" spans="1:4" s="79" customFormat="1" ht="23" thickBot="1">
      <c r="A428" s="749" t="str">
        <f>VLOOKUP("一晌「貪」歡", Data!$B:$D,I1,FALSE)</f>
        <v>一晌「貪」歡</v>
      </c>
      <c r="B428" s="750"/>
      <c r="C428" s="750"/>
      <c r="D428" s="751"/>
    </row>
    <row r="429" spans="1:4" s="79" customFormat="1" ht="14.5">
      <c r="A429" s="292" t="s">
        <v>3472</v>
      </c>
      <c r="B429" s="284" t="s">
        <v>3473</v>
      </c>
      <c r="C429" s="277" t="s">
        <v>3474</v>
      </c>
      <c r="D429" s="293" t="s">
        <v>2542</v>
      </c>
    </row>
    <row r="430" spans="1:4" s="79" customFormat="1" ht="14.5">
      <c r="A430" s="126" t="str">
        <f>VLOOKUP("莉瑞雅", Data!$B:$D,I1,FALSE)</f>
        <v>莉瑞雅</v>
      </c>
      <c r="B430" s="855" t="s">
        <v>3586</v>
      </c>
      <c r="C430" s="283" t="str">
        <f>VLOOKUP("亡者之魂", Data!$B:$D,I1,FALSE)&amp;"（5-2-1）"</f>
        <v>亡者之魂（5-2-1）</v>
      </c>
      <c r="D430" s="309"/>
    </row>
    <row r="431" spans="1:4" s="79" customFormat="1" ht="14.5">
      <c r="A431" s="126" t="str">
        <f>VLOOKUP("慾望之神", Data!$B:$D,I1,FALSE)</f>
        <v>慾望之神</v>
      </c>
      <c r="B431" s="856"/>
      <c r="C431" s="283" t="str">
        <f>VLOOKUP("亡者之魂", Data!$B:$D,I1,FALSE)&amp;"（5-2-3）"</f>
        <v>亡者之魂（5-2-3）</v>
      </c>
      <c r="D431" s="309" t="str">
        <f>"听完“"&amp;VLOOKUP("莉瑞雅", Data!$B:$D,I1,FALSE)&amp;"”后激活"</f>
        <v>听完“莉瑞雅”后激活</v>
      </c>
    </row>
    <row r="432" spans="1:4" s="79" customFormat="1" ht="14.5">
      <c r="A432" s="126" t="str">
        <f>VLOOKUP("賊神的計畫", Data!$B:$D,I1,FALSE)</f>
        <v>賊神的計畫</v>
      </c>
      <c r="B432" s="856"/>
      <c r="C432" s="283" t="str">
        <f>VLOOKUP("死亡使者", Data!$B:$D,I1,FALSE)&amp;"（5-3-1）"</f>
        <v>死亡使者（5-3-1）</v>
      </c>
      <c r="D432" s="309" t="str">
        <f>"听完“"&amp;VLOOKUP("慾望之神", Data!$B:$D,I1,FALSE)&amp;"”后激活"</f>
        <v>听完“慾望之神”后激活</v>
      </c>
    </row>
    <row r="433" spans="1:4" s="79" customFormat="1" ht="14.5">
      <c r="A433" s="126" t="str">
        <f>VLOOKUP("完美的一夜", Data!$B:$D,I1,FALSE)</f>
        <v>完美的一夜</v>
      </c>
      <c r="B433" s="856"/>
      <c r="C433" s="283" t="str">
        <f>VLOOKUP("女巫", Data!$B:$D,I1,FALSE)&amp;"（5-4-1）"</f>
        <v>女巫（5-4-1）</v>
      </c>
      <c r="D433" s="309" t="str">
        <f>"听完“"&amp;VLOOKUP("賊神的計畫", Data!$B:$D,I1,FALSE)&amp;"”后激活"</f>
        <v>听完“賊神的計畫”后激活</v>
      </c>
    </row>
    <row r="434" spans="1:4" s="79" customFormat="1" ht="14.5">
      <c r="A434" s="126" t="str">
        <f>VLOOKUP("賊神的喜樂", Data!$B:$D,I1,FALSE)</f>
        <v>賊神的喜樂</v>
      </c>
      <c r="B434" s="856"/>
      <c r="C434" s="861" t="str">
        <f>VLOOKUP("混沌界之門", Data!$B:$D,I1,FALSE)&amp;"（5-5-1）"</f>
        <v>混沌界之門（5-5-1）</v>
      </c>
      <c r="D434" s="309" t="str">
        <f>"听完“"&amp;VLOOKUP("完美的一夜", Data!$B:$D,I1,FALSE)&amp;"”后激活"</f>
        <v>听完“完美的一夜”后激活</v>
      </c>
    </row>
    <row r="435" spans="1:4" s="79" customFormat="1" ht="14.5">
      <c r="A435" s="126" t="str">
        <f>VLOOKUP("賊神的傷痛", Data!$B:$D,I1,FALSE)</f>
        <v>賊神的傷痛</v>
      </c>
      <c r="B435" s="856"/>
      <c r="C435" s="862"/>
      <c r="D435" s="309" t="str">
        <f>"听完“"&amp;VLOOKUP("賊神的喜樂", Data!$B:$D,I1,FALSE)&amp;"”后激活"</f>
        <v>听完“賊神的喜樂”后激活</v>
      </c>
    </row>
    <row r="436" spans="1:4" s="79" customFormat="1" ht="14.5">
      <c r="A436" s="126" t="str">
        <f>VLOOKUP("德傑斯特的寶石", Data!$B:$D,I1,FALSE)</f>
        <v>德傑斯特的寶石</v>
      </c>
      <c r="B436" s="856"/>
      <c r="C436" s="861" t="str">
        <f>VLOOKUP("攻城要塞", Data!$B:$D,I1,FALSE)&amp;"（5-7-1）"</f>
        <v>攻城要塞（5-7-1）</v>
      </c>
      <c r="D436" s="309" t="str">
        <f>"听完“"&amp;VLOOKUP("賊神的傷痛", Data!$B:$D,I1,FALSE)&amp;"”后激活"</f>
        <v>听完“賊神的傷痛”后激活</v>
      </c>
    </row>
    <row r="437" spans="1:4" s="79" customFormat="1" ht="15" thickBot="1">
      <c r="A437" s="133" t="str">
        <f>VLOOKUP("尋找德傑斯特", Data!$B:$D,I1,FALSE)</f>
        <v>尋找德傑斯特</v>
      </c>
      <c r="B437" s="857"/>
      <c r="C437" s="864"/>
      <c r="D437" s="311" t="s">
        <v>3651</v>
      </c>
    </row>
    <row r="438" spans="1:4" s="79" customFormat="1" ht="15" thickBot="1">
      <c r="A438" s="473"/>
      <c r="B438" s="286"/>
    </row>
    <row r="439" spans="1:4" s="79" customFormat="1" ht="23" thickBot="1">
      <c r="A439" s="749" t="str">
        <f>VLOOKUP("維欽人碎碎念", Data!$B:$D,I1,FALSE)</f>
        <v>維欽人碎碎念</v>
      </c>
      <c r="B439" s="750"/>
      <c r="C439" s="750"/>
      <c r="D439" s="751"/>
    </row>
    <row r="440" spans="1:4" s="79" customFormat="1" ht="14.5">
      <c r="A440" s="292" t="s">
        <v>3472</v>
      </c>
      <c r="B440" s="284" t="s">
        <v>3473</v>
      </c>
      <c r="C440" s="277" t="s">
        <v>3474</v>
      </c>
      <c r="D440" s="293" t="s">
        <v>2542</v>
      </c>
    </row>
    <row r="441" spans="1:4" s="79" customFormat="1" ht="14.5">
      <c r="A441" s="142" t="str">
        <f>VLOOKUP("世界的本質", Data!$B:$D,I1,FALSE)</f>
        <v>世界的本質</v>
      </c>
      <c r="B441" s="868" t="s">
        <v>3606</v>
      </c>
      <c r="C441" s="81" t="str">
        <f>VLOOKUP("破碎的王冠", Data!$B:$D,I1,FALSE)&amp;"（1-3-1）"</f>
        <v>破碎的王冠（1-3-1）</v>
      </c>
      <c r="D441" s="84" t="s">
        <v>3610</v>
      </c>
    </row>
    <row r="442" spans="1:4" s="79" customFormat="1" ht="14.5">
      <c r="A442" s="142" t="str">
        <f>VLOOKUP("艱辛的道路", Data!$B:$D,I1,FALSE)</f>
        <v>艱辛的道路</v>
      </c>
      <c r="B442" s="869"/>
      <c r="C442" s="81" t="str">
        <f>VLOOKUP("破碎的異世之劍", Data!$B:$D,I1,FALSE)&amp;"（1-6-1）"</f>
        <v>破碎的異世之劍（1-6-1）</v>
      </c>
      <c r="D442" s="84" t="s">
        <v>3617</v>
      </c>
    </row>
    <row r="443" spans="1:4" s="79" customFormat="1" ht="14.5">
      <c r="A443" s="142" t="str">
        <f>VLOOKUP("骷髏王", Data!$B:$D,I1,FALSE)</f>
        <v>骷髏王</v>
      </c>
      <c r="B443" s="869"/>
      <c r="C443" s="81" t="str">
        <f>VLOOKUP("黑狂君的統治", Data!$B:$D,I1,FALSE)&amp;"（1-4-1）"</f>
        <v>黑狂君的統治（1-4-1）</v>
      </c>
      <c r="D443" s="84" t="s">
        <v>3611</v>
      </c>
    </row>
    <row r="444" spans="1:4" s="79" customFormat="1" ht="14.5">
      <c r="A444" s="142" t="str">
        <f>VLOOKUP("沉沒神殿", Data!$B:$D,I1,FALSE)</f>
        <v>沉沒神殿</v>
      </c>
      <c r="B444" s="869"/>
      <c r="C444" s="81" t="str">
        <f>VLOOKUP("破碎的異世之劍", Data!$B:$D,I1,FALSE)&amp;"（1-6-1）"</f>
        <v>破碎的異世之劍（1-6-1）</v>
      </c>
      <c r="D444" s="84" t="s">
        <v>3612</v>
      </c>
    </row>
    <row r="445" spans="1:4" s="79" customFormat="1" ht="14.5">
      <c r="A445" s="142" t="str">
        <f>VLOOKUP("黑暗的景象", Data!$B:$D,I1,FALSE)</f>
        <v>黑暗的景象</v>
      </c>
      <c r="B445" s="869"/>
      <c r="C445" s="81" t="str">
        <f>VLOOKUP("沃薩姆的浩劫", Data!$B:$D,I1,FALSE)&amp;"（1-7-1）"</f>
        <v>沃薩姆的浩劫（1-7-1）</v>
      </c>
      <c r="D445" s="84" t="s">
        <v>3613</v>
      </c>
    </row>
    <row r="446" spans="1:4" s="79" customFormat="1" ht="14.5">
      <c r="A446" s="142" t="str">
        <f>VLOOKUP("凱恩之死", Data!$B:$D,I1,FALSE)</f>
        <v>凱恩之死</v>
      </c>
      <c r="B446" s="869"/>
      <c r="C446" s="81" t="str">
        <f>VLOOKUP("追尋真神教", Data!$B:$D,I1,FALSE)&amp;"（1-8-1）"</f>
        <v>追尋真神教（1-8-1）</v>
      </c>
      <c r="D446" s="84" t="s">
        <v>3615</v>
      </c>
    </row>
    <row r="447" spans="1:4" s="79" customFormat="1" ht="14.5">
      <c r="A447" s="142" t="str">
        <f>VLOOKUP("邪惡的魔物", Data!$B:$D,I1,FALSE)</f>
        <v>邪惡的魔物</v>
      </c>
      <c r="B447" s="870"/>
      <c r="C447" s="81" t="str">
        <f>VLOOKUP("被囚禁的天使", Data!$B:$D,I1,FALSE)&amp;"（1-9-1）"</f>
        <v>被囚禁的天使（1-9-1）</v>
      </c>
      <c r="D447" s="84" t="s">
        <v>3616</v>
      </c>
    </row>
    <row r="448" spans="1:4" s="79" customFormat="1" ht="14.5">
      <c r="A448" s="147" t="str">
        <f>VLOOKUP("憂心忡忡", Data!$B:$D,I1,FALSE)</f>
        <v>憂心忡忡</v>
      </c>
      <c r="B448" s="871" t="s">
        <v>3607</v>
      </c>
      <c r="C448" s="874" t="str">
        <f>VLOOKUP("沙漠之影", Data!$B:$D,I1,FALSE)&amp;"（2-1-1）"</f>
        <v>沙漠之影（2-1-1）</v>
      </c>
      <c r="D448" s="877" t="s">
        <v>3619</v>
      </c>
    </row>
    <row r="449" spans="1:4" s="79" customFormat="1" ht="14.5">
      <c r="A449" s="147" t="str">
        <f>VLOOKUP("真神教", Data!$B:$D,I1,FALSE)</f>
        <v>真神教</v>
      </c>
      <c r="B449" s="872"/>
      <c r="C449" s="875"/>
      <c r="D449" s="878"/>
    </row>
    <row r="450" spans="1:4" s="79" customFormat="1" ht="14.5">
      <c r="A450" s="147" t="str">
        <f>VLOOKUP("巫女", Data!$B:$D,I1,FALSE)</f>
        <v>巫女</v>
      </c>
      <c r="B450" s="872"/>
      <c r="C450" s="875"/>
      <c r="D450" s="99" t="s">
        <v>3620</v>
      </c>
    </row>
    <row r="451" spans="1:4" s="79" customFormat="1" ht="14.5">
      <c r="A451" s="147" t="str">
        <f>VLOOKUP("鐵匠", Data!$B:$D,I1,FALSE)</f>
        <v>鐵匠</v>
      </c>
      <c r="B451" s="872"/>
      <c r="C451" s="876"/>
      <c r="D451" s="99" t="s">
        <v>3621</v>
      </c>
    </row>
    <row r="452" spans="1:4" s="79" customFormat="1" ht="14.5">
      <c r="A452" s="147" t="str">
        <f>VLOOKUP("家庭", Data!$B:$D,I1,FALSE)</f>
        <v>家庭</v>
      </c>
      <c r="B452" s="872"/>
      <c r="C452" s="874" t="str">
        <f>VLOOKUP("往奧卡納斯的道路", Data!$B:$D,I1,FALSE)&amp;"（2-2-1）"</f>
        <v>往奧卡納斯的道路（2-2-1）</v>
      </c>
      <c r="D452" s="99" t="s">
        <v>3624</v>
      </c>
    </row>
    <row r="453" spans="1:4" s="79" customFormat="1" ht="14.5">
      <c r="A453" s="147" t="str">
        <f>VLOOKUP("珠寶匠", Data!$B:$D,I1,FALSE)</f>
        <v>珠寶匠</v>
      </c>
      <c r="B453" s="872"/>
      <c r="C453" s="876"/>
      <c r="D453" s="99" t="str">
        <f>"听完“"&amp;VLOOKUP("家庭", Data!$B:$D,I1,FALSE)&amp;"”后激活，第二章结束前对话"</f>
        <v>听完“家庭”后激活，第二章结束前对话</v>
      </c>
    </row>
    <row r="454" spans="1:4" s="79" customFormat="1" ht="14.5">
      <c r="A454" s="147" t="str">
        <f>VLOOKUP("封鎖城市", Data!$B:$D,I1,FALSE)</f>
        <v>封鎖城市</v>
      </c>
      <c r="B454" s="872"/>
      <c r="C454" s="96" t="str">
        <f>VLOOKUP("皇室覲見", Data!$B:$D,I1,FALSE)&amp;"（2-4-1）"</f>
        <v>皇室覲見（2-4-1）</v>
      </c>
      <c r="D454" s="99" t="s">
        <v>3625</v>
      </c>
    </row>
    <row r="455" spans="1:4" s="79" customFormat="1" ht="14.5">
      <c r="A455" s="147" t="str">
        <f>VLOOKUP("追隨者", Data!$B:$D,I1,FALSE)</f>
        <v>追隨者</v>
      </c>
      <c r="B455" s="872"/>
      <c r="C455" s="96" t="str">
        <f>VLOOKUP("意外的盟友", Data!$B:$D,I1,FALSE)&amp;"（2-5-1）"</f>
        <v>意外的盟友（2-5-1）</v>
      </c>
      <c r="D455" s="877" t="s">
        <v>3624</v>
      </c>
    </row>
    <row r="456" spans="1:4" s="79" customFormat="1" ht="14.5">
      <c r="A456" s="147" t="str">
        <f>VLOOKUP("愛德莉雅的目的", Data!$B:$D,I1,FALSE)</f>
        <v>愛德莉雅的目的</v>
      </c>
      <c r="B456" s="872"/>
      <c r="C456" s="874" t="str">
        <f>VLOOKUP("赫拉迪姆的背叛者", Data!$B:$D,I1,FALSE)&amp;"（2-6-1）"</f>
        <v>赫拉迪姆的背叛者（2-6-1）</v>
      </c>
      <c r="D456" s="878"/>
    </row>
    <row r="457" spans="1:4" s="79" customFormat="1" ht="14.5">
      <c r="A457" s="147" t="str">
        <f>VLOOKUP("米瑞姆的擔憂", Data!$B:$D,I1,FALSE)</f>
        <v>米瑞姆的擔憂</v>
      </c>
      <c r="B457" s="872"/>
      <c r="C457" s="875"/>
      <c r="D457" s="99" t="str">
        <f>"听完“"&amp;VLOOKUP("愛德莉雅的目的", Data!$B:$D,I1,FALSE)&amp;"”后激活，第二章结束前对话"</f>
        <v>听完“愛德莉雅的目的”后激活，第二章结束前对话</v>
      </c>
    </row>
    <row r="458" spans="1:4" s="79" customFormat="1" ht="14.5">
      <c r="A458" s="147" t="str">
        <f>VLOOKUP("佐敦庫勒", Data!$B:$D,I1,FALSE)</f>
        <v>佐敦庫勒</v>
      </c>
      <c r="B458" s="872"/>
      <c r="C458" s="876"/>
      <c r="D458" s="99" t="s">
        <v>3622</v>
      </c>
    </row>
    <row r="459" spans="1:4" s="79" customFormat="1" ht="14.5">
      <c r="A459" s="147" t="str">
        <f>VLOOKUP("佐敦庫勒的背叛", Data!$B:$D,I1,FALSE)</f>
        <v>佐敦庫勒的背叛</v>
      </c>
      <c r="B459" s="872"/>
      <c r="C459" s="874" t="str">
        <f>VLOOKUP("黑靈魂石", Data!$B:$D,I1,FALSE)&amp;"（2-8-1）"</f>
        <v>黑靈魂石（2-8-1）</v>
      </c>
      <c r="D459" s="99" t="s">
        <v>3623</v>
      </c>
    </row>
    <row r="460" spans="1:4" s="79" customFormat="1" ht="14.5">
      <c r="A460" s="147" t="str">
        <f>VLOOKUP("改變未來", Data!$B:$D,I1,FALSE)</f>
        <v>改變未來</v>
      </c>
      <c r="B460" s="872"/>
      <c r="C460" s="876"/>
      <c r="D460" s="99" t="str">
        <f>"听完“"&amp;VLOOKUP("佐敦庫勒的背叛", Data!$B:$D,I1,FALSE)&amp;"”后激活，第二章结束前对话"</f>
        <v>听完“佐敦庫勒的背叛”后激活，第二章结束前对话</v>
      </c>
    </row>
    <row r="461" spans="1:4" s="79" customFormat="1" ht="14.5">
      <c r="A461" s="147" t="str">
        <f>VLOOKUP("彼列", Data!$B:$D,I1,FALSE)</f>
        <v>彼列</v>
      </c>
      <c r="B461" s="872"/>
      <c r="C461" s="874" t="str">
        <f>VLOOKUP("謊言之王", Data!$B:$D,I1,FALSE)&amp;"（2-10-1）"</f>
        <v>謊言之王（2-10-1）</v>
      </c>
      <c r="D461" s="99" t="s">
        <v>3626</v>
      </c>
    </row>
    <row r="462" spans="1:4" s="79" customFormat="1" ht="14.5">
      <c r="A462" s="147" t="str">
        <f>VLOOKUP("擊敗彼列", Data!$B:$D,I1,FALSE)</f>
        <v>擊敗彼列</v>
      </c>
      <c r="B462" s="873"/>
      <c r="C462" s="876"/>
      <c r="D462" s="99" t="s">
        <v>3630</v>
      </c>
    </row>
    <row r="463" spans="1:4" s="79" customFormat="1" ht="14.5">
      <c r="A463" s="239" t="str">
        <f>VLOOKUP("預言", Data!$B:$D,I1,FALSE)</f>
        <v>預言</v>
      </c>
      <c r="B463" s="882" t="s">
        <v>3608</v>
      </c>
      <c r="C463" s="217" t="str">
        <f>VLOOKUP("罪惡之核", Data!$B:$D,I1,FALSE)&amp;"（3-7-1）"</f>
        <v>罪惡之核（3-7-1）</v>
      </c>
      <c r="D463" s="885" t="s">
        <v>3631</v>
      </c>
    </row>
    <row r="464" spans="1:4" s="79" customFormat="1" ht="14.5">
      <c r="A464" s="239" t="str">
        <f>VLOOKUP("守護要塞", Data!$B:$D,I1,FALSE)</f>
        <v>守護要塞</v>
      </c>
      <c r="B464" s="883"/>
      <c r="C464" s="217" t="str">
        <f>VLOOKUP("戍衛要塞圍困", Data!$B:$D,I1,FALSE)&amp;"（3-1-2）"</f>
        <v>戍衛要塞圍困（3-1-2）</v>
      </c>
      <c r="D464" s="886"/>
    </row>
    <row r="465" spans="1:4" s="79" customFormat="1" ht="14.5">
      <c r="A465" s="239" t="str">
        <f>VLOOKUP("可憎的惡魔", Data!$B:$D,I1,FALSE)</f>
        <v>可憎的惡魔</v>
      </c>
      <c r="B465" s="883"/>
      <c r="C465" s="217" t="str">
        <f>VLOOKUP("扭轉戰況", Data!$B:$D,I1,FALSE)&amp;"（3-2-1）"</f>
        <v>扭轉戰況（3-2-1）</v>
      </c>
      <c r="D465" s="219" t="s">
        <v>3629</v>
      </c>
    </row>
    <row r="466" spans="1:4" s="79" customFormat="1" ht="14.5">
      <c r="A466" s="239" t="str">
        <f>VLOOKUP("黑暗的濁氣", Data!$B:$D,I1,FALSE)</f>
        <v>黑暗的濁氣</v>
      </c>
      <c r="B466" s="883"/>
      <c r="C466" s="217" t="str">
        <f>VLOOKUP("要塞缺口", Data!$B:$D,I1,FALSE)&amp;"（3-3-1）"</f>
        <v>要塞缺口（3-3-1）</v>
      </c>
      <c r="D466" s="219" t="s">
        <v>3632</v>
      </c>
    </row>
    <row r="467" spans="1:4" s="79" customFormat="1" ht="14.5">
      <c r="A467" s="239" t="str">
        <f>VLOOKUP("人生的樂趣", Data!$B:$D,I1,FALSE)</f>
        <v>人生的樂趣</v>
      </c>
      <c r="B467" s="883"/>
      <c r="C467" s="217" t="str">
        <f>VLOOKUP("靈魂石的震顫", Data!$B:$D,I1,FALSE)&amp;"（3-4-1）"</f>
        <v>靈魂石的震顫（3-4-1）</v>
      </c>
      <c r="D467" s="219" t="s">
        <v>3633</v>
      </c>
    </row>
    <row r="468" spans="1:4" s="79" customFormat="1" ht="14.5">
      <c r="A468" s="239" t="str">
        <f>VLOOKUP("黑靈魂石", Data!$B:$D,I1,FALSE)</f>
        <v>黑靈魂石</v>
      </c>
      <c r="B468" s="884"/>
      <c r="C468" s="217" t="str">
        <f>VLOOKUP("攻城破壞獸", Data!$B:$D,I1,FALSE)&amp;"（3-6-1）"</f>
        <v>攻城破壞獸（3-6-1）</v>
      </c>
      <c r="D468" s="219" t="s">
        <v>3631</v>
      </c>
    </row>
    <row r="469" spans="1:4" s="79" customFormat="1" ht="14.5">
      <c r="A469" s="571" t="str">
        <f>VLOOKUP("米瑞姆早知道的事", Data!$B:$D,I1,FALSE)</f>
        <v>米瑞姆早知道的事</v>
      </c>
      <c r="B469" s="887" t="s">
        <v>3609</v>
      </c>
      <c r="C469" s="278" t="str">
        <f>VLOOKUP("至高天的隕落", Data!$B:$D,I1,FALSE)&amp;"（4-1-1）"</f>
        <v>至高天的隕落（4-1-1）</v>
      </c>
      <c r="D469" s="314" t="s">
        <v>3637</v>
      </c>
    </row>
    <row r="470" spans="1:4" s="79" customFormat="1" ht="14.5">
      <c r="A470" s="571" t="str">
        <f>VLOOKUP("受困的大天使", Data!$B:$D,I1,FALSE)</f>
        <v>受困的大天使</v>
      </c>
      <c r="B470" s="888"/>
      <c r="C470" s="278" t="str">
        <f>VLOOKUP("希望之光", Data!$B:$D,I1,FALSE)&amp;"（4-2-1）"</f>
        <v>希望之光（4-2-1）</v>
      </c>
      <c r="D470" s="314" t="s">
        <v>3635</v>
      </c>
    </row>
    <row r="471" spans="1:4" s="79" customFormat="1" ht="14.5">
      <c r="A471" s="571" t="str">
        <f>VLOOKUP("命運卷軸", Data!$B:$D,I1,FALSE)</f>
        <v>命運卷軸</v>
      </c>
      <c r="B471" s="888"/>
      <c r="C471" s="282" t="str">
        <f>VLOOKUP("希望之光", Data!$B:$D,I1,FALSE)&amp;"（4-2-2）"</f>
        <v>希望之光（4-2-2）</v>
      </c>
      <c r="D471" s="314" t="s">
        <v>3638</v>
      </c>
    </row>
    <row r="472" spans="1:4" s="79" customFormat="1" ht="14.5">
      <c r="A472" s="571" t="str">
        <f>VLOOKUP("凡人與天使", Data!$B:$D,I1,FALSE)</f>
        <v>凡人與天使</v>
      </c>
      <c r="B472" s="889"/>
      <c r="C472" s="282" t="str">
        <f>VLOOKUP("萬惡之源", Data!$B:$D,I1,FALSE)&amp;"（4-4-1）"</f>
        <v>萬惡之源（4-4-1）</v>
      </c>
      <c r="D472" s="314" t="s">
        <v>3636</v>
      </c>
    </row>
    <row r="473" spans="1:4" s="79" customFormat="1" ht="14.5">
      <c r="A473" s="572" t="str">
        <f>VLOOKUP("谈谈你自己", Data!$B:$D,I1,FALSE)</f>
        <v>谈谈你自己</v>
      </c>
      <c r="B473" s="290" t="s">
        <v>3627</v>
      </c>
      <c r="C473" s="291" t="s">
        <v>3628</v>
      </c>
      <c r="D473" s="315"/>
    </row>
    <row r="474" spans="1:4" s="79" customFormat="1" ht="14.5">
      <c r="A474" s="126" t="str">
        <f>VLOOKUP("更多米瑞姆的事", Data!$B:$D,I1,FALSE)</f>
        <v>更多米瑞姆的事</v>
      </c>
      <c r="B474" s="855" t="s">
        <v>3586</v>
      </c>
      <c r="C474" s="283" t="str">
        <f>VLOOKUP("死亡使者", Data!$B:$D,I1,FALSE)&amp;"（5-3-2）"</f>
        <v>死亡使者（5-3-2）</v>
      </c>
      <c r="D474" s="309" t="str">
        <f>"听完“"&amp;VLOOKUP("谈谈你自己", Data!$B:$D,I1,FALSE)&amp;"”后激活"</f>
        <v>听完“谈谈你自己”后激活</v>
      </c>
    </row>
    <row r="475" spans="1:4" s="79" customFormat="1" ht="14.5">
      <c r="A475" s="126" t="str">
        <f>VLOOKUP("故事", Data!$B:$D,I1,FALSE)</f>
        <v>故事</v>
      </c>
      <c r="B475" s="856"/>
      <c r="C475" s="283" t="str">
        <f>VLOOKUP("女巫", Data!$B:$D,I1,FALSE)&amp;"（5-4-2）"</f>
        <v>女巫（5-4-2）</v>
      </c>
      <c r="D475" s="309"/>
    </row>
    <row r="476" spans="1:4" s="79" customFormat="1" ht="14.5">
      <c r="A476" s="126" t="str">
        <f>VLOOKUP("厄傑爾的所在", Data!$B:$D,I1,FALSE)</f>
        <v>厄傑爾的所在</v>
      </c>
      <c r="B476" s="856"/>
      <c r="C476" s="283" t="str">
        <f>VLOOKUP("死亡使者", Data!$B:$D,I1,FALSE)&amp;"（5-3-2）"</f>
        <v>死亡使者（5-3-2）</v>
      </c>
      <c r="D476" s="309" t="s">
        <v>3597</v>
      </c>
    </row>
    <row r="477" spans="1:4" s="79" customFormat="1" ht="14.5">
      <c r="A477" s="126" t="str">
        <f>VLOOKUP("尋找愛德莉雅", Data!$B:$D,I1,FALSE)</f>
        <v>尋找愛德莉雅</v>
      </c>
      <c r="B477" s="856"/>
      <c r="C477" s="283" t="str">
        <f>VLOOKUP("女巫", Data!$B:$D,I1,FALSE)&amp;"（5-4-2）"</f>
        <v>女巫（5-4-2）</v>
      </c>
      <c r="D477" s="309" t="s">
        <v>3599</v>
      </c>
    </row>
    <row r="478" spans="1:4" s="79" customFormat="1" ht="14.5">
      <c r="A478" s="126" t="str">
        <f>VLOOKUP("米瑞姆的驚喜", Data!$B:$D,I1,FALSE)</f>
        <v>米瑞姆的驚喜</v>
      </c>
      <c r="B478" s="856"/>
      <c r="C478" s="861" t="str">
        <f>VLOOKUP("混沌界之門", Data!$B:$D,I1,FALSE)&amp;"（5-5-1）"</f>
        <v>混沌界之門（5-5-1）</v>
      </c>
      <c r="D478" s="858" t="s">
        <v>3601</v>
      </c>
    </row>
    <row r="479" spans="1:4" s="79" customFormat="1" ht="14.5">
      <c r="A479" s="126" t="str">
        <f>VLOOKUP("混沌界", Data!$B:$D,I1,FALSE)</f>
        <v>混沌界</v>
      </c>
      <c r="B479" s="856"/>
      <c r="C479" s="862"/>
      <c r="D479" s="859"/>
    </row>
    <row r="480" spans="1:4" ht="17" thickBot="1">
      <c r="A480" s="133" t="str">
        <f>VLOOKUP("英普瑞斯", Data!$B:$D,I1,FALSE)</f>
        <v>英普瑞斯</v>
      </c>
      <c r="B480" s="857"/>
      <c r="C480" s="310" t="str">
        <f>VLOOKUP("永恆戰場", Data!$B:$D,I1,FALSE)&amp;"（5-6-1）"</f>
        <v>永恆戰場（5-6-1）</v>
      </c>
      <c r="D480" s="311" t="s">
        <v>3602</v>
      </c>
    </row>
    <row r="481" spans="1:4" ht="17" thickBot="1"/>
    <row r="482" spans="1:4" ht="23" thickBot="1">
      <c r="A482" s="749" t="str">
        <f>VLOOKUP("市場調查", Data!$B:$D,I1,FALSE)</f>
        <v>市場調查</v>
      </c>
      <c r="B482" s="750"/>
      <c r="C482" s="750"/>
      <c r="D482" s="751"/>
    </row>
    <row r="483" spans="1:4">
      <c r="A483" s="292" t="s">
        <v>6687</v>
      </c>
      <c r="B483" s="284" t="s">
        <v>3473</v>
      </c>
      <c r="C483" s="277" t="s">
        <v>6690</v>
      </c>
      <c r="D483" s="293" t="s">
        <v>2542</v>
      </c>
    </row>
    <row r="484" spans="1:4">
      <c r="A484" s="142" t="str">
        <f>VLOOKUP("流浪工匠", Data!$B:$D,I1, FALSE)</f>
        <v>流浪工匠</v>
      </c>
      <c r="B484" s="879" t="s">
        <v>6684</v>
      </c>
      <c r="C484" s="160" t="str">
        <f>VLOOKUP("悲慘之原-避難小屋", Data!$B:$D,I1, FALSE)&amp;"-"&amp;VLOOKUP("工匠的雜物間", Data!$B:$D,I1, FALSE)</f>
        <v>悲慘之原-避難小屋-工匠的雜物間</v>
      </c>
      <c r="D484" s="675"/>
    </row>
    <row r="485" spans="1:4">
      <c r="A485" s="142" t="str">
        <f>VLOOKUP("煉金師羅德格", Data!$B:$D,I1, FALSE)</f>
        <v>煉金師羅德格</v>
      </c>
      <c r="B485" s="880"/>
      <c r="C485" s="81" t="str">
        <f>VLOOKUP("沃薩姆峭壁", Data!$B:$D,I1, FALSE)</f>
        <v>沃薩姆峭壁</v>
      </c>
      <c r="D485" s="84"/>
    </row>
    <row r="486" spans="1:4">
      <c r="A486" s="142" t="str">
        <f>VLOOKUP("護甲鍛造師凡戴爾", Data!$B:$D,I1, FALSE)</f>
        <v>護甲鍛造師凡戴爾</v>
      </c>
      <c r="B486" s="880"/>
      <c r="C486" s="81" t="str">
        <f>VLOOKUP("南部高地-瞭望塔第二層", Data!$B:$D,I1, FALSE)</f>
        <v>南部高地-瞭望塔第二層</v>
      </c>
      <c r="D486" s="84" t="str">
        <f>"对话可获得书籍“"&amp;VLOOKUP("防禦者塔力克的劍鞘", Data!$B:$D,I1, FALSE)&amp;"”。"</f>
        <v>对话可获得书籍“防禦者塔力克的劍鞘”。</v>
      </c>
    </row>
    <row r="487" spans="1:4">
      <c r="A487" s="142" t="str">
        <f>VLOOKUP("古董商阿德納", Data!$B:$D,I1, FALSE)</f>
        <v>古董商阿德納</v>
      </c>
      <c r="B487" s="880"/>
      <c r="C487" s="81" t="str">
        <f>VLOOKUP("悲慘之原", Data!$B:$D,I1, FALSE)&amp;"-"&amp;VLOOKUP("古董之家", Data!$B:$D,I1, FALSE)</f>
        <v>悲慘之原-古董之家</v>
      </c>
      <c r="D487" s="84" t="str">
        <f>"有一定几率出现一个箱子，点击可获得书籍“"&amp;VLOOKUP("阿德納的便條", Data!$B:$D,I1, FALSE)&amp;"”。"</f>
        <v>有一定几率出现一个箱子，点击可获得书籍“阿德納的便條”。</v>
      </c>
    </row>
    <row r="488" spans="1:4">
      <c r="A488" s="142" t="str">
        <f>VLOOKUP("武器鍛造師奇爾", Data!$B:$D,I1, FALSE)</f>
        <v>武器鍛造師奇爾</v>
      </c>
      <c r="B488" s="880"/>
      <c r="C488" s="81" t="str">
        <f>VLOOKUP("苦痛刑牢-高地小徑", Data!$B:$D,I1, FALSE)</f>
        <v>苦痛刑牢-高地小徑</v>
      </c>
      <c r="D488" s="676"/>
    </row>
    <row r="489" spans="1:4">
      <c r="A489" s="147" t="str">
        <f>VLOOKUP("煉金師札梵", Data!$B:$D,I1, FALSE)</f>
        <v>煉金師札梵</v>
      </c>
      <c r="B489" s="881" t="s">
        <v>6685</v>
      </c>
      <c r="C489" s="96" t="str">
        <f>VLOOKUP("達厄古綠洲 ", Data!$B:$D,I1, FALSE)</f>
        <v xml:space="preserve">達厄古綠洲 </v>
      </c>
      <c r="D489" s="677" t="s">
        <v>6707</v>
      </c>
    </row>
    <row r="490" spans="1:4">
      <c r="A490" s="147" t="str">
        <f>VLOOKUP("菈娜", Data!$B:$D,I1, FALSE)</f>
        <v>菈娜</v>
      </c>
      <c r="B490" s="881"/>
      <c r="C490" s="96" t="str">
        <f>VLOOKUP("黑谷礦坑", Data!$B:$D,I1, FALSE)&amp;"-"&amp;VLOOKUP("遺棄的地窖", Data!$B:$D,I1, FALSE)</f>
        <v>黑谷礦坑-遺棄的地窖</v>
      </c>
      <c r="D490" s="99"/>
    </row>
    <row r="491" spans="1:4" ht="17" thickBot="1">
      <c r="A491" s="220" t="str">
        <f>VLOOKUP("煉金師哈爾米", Data!$B:$D,I1, FALSE)</f>
        <v>煉金師哈爾米</v>
      </c>
      <c r="B491" s="221" t="s">
        <v>6686</v>
      </c>
      <c r="C491" s="221" t="str">
        <f>VLOOKUP("戰場-鑄造廠第一層", Data!$B:$D,I1, FALSE)</f>
        <v>戰場-鑄造廠第一層</v>
      </c>
      <c r="D491" s="225" t="s">
        <v>6708</v>
      </c>
    </row>
  </sheetData>
  <mergeCells count="120">
    <mergeCell ref="A482:D482"/>
    <mergeCell ref="B484:B488"/>
    <mergeCell ref="B489:B490"/>
    <mergeCell ref="B463:B468"/>
    <mergeCell ref="D463:D464"/>
    <mergeCell ref="B469:B472"/>
    <mergeCell ref="B474:B480"/>
    <mergeCell ref="C478:C479"/>
    <mergeCell ref="D478:D479"/>
    <mergeCell ref="A439:D439"/>
    <mergeCell ref="B441:B447"/>
    <mergeCell ref="B448:B462"/>
    <mergeCell ref="C448:C451"/>
    <mergeCell ref="D448:D449"/>
    <mergeCell ref="C452:C453"/>
    <mergeCell ref="D455:D456"/>
    <mergeCell ref="C456:C458"/>
    <mergeCell ref="C459:C460"/>
    <mergeCell ref="C461:C462"/>
    <mergeCell ref="A419:D419"/>
    <mergeCell ref="B421:B426"/>
    <mergeCell ref="A428:D428"/>
    <mergeCell ref="B430:B437"/>
    <mergeCell ref="C434:C435"/>
    <mergeCell ref="C436:C437"/>
    <mergeCell ref="B402:B407"/>
    <mergeCell ref="C403:C404"/>
    <mergeCell ref="C405:C406"/>
    <mergeCell ref="A409:D409"/>
    <mergeCell ref="B411:B417"/>
    <mergeCell ref="C415:C416"/>
    <mergeCell ref="A390:D390"/>
    <mergeCell ref="B392:B398"/>
    <mergeCell ref="C393:C394"/>
    <mergeCell ref="C396:C398"/>
    <mergeCell ref="A400:D400"/>
    <mergeCell ref="A372:D372"/>
    <mergeCell ref="B374:B382"/>
    <mergeCell ref="A384:D384"/>
    <mergeCell ref="B386:B388"/>
    <mergeCell ref="C387:C388"/>
    <mergeCell ref="B351:B353"/>
    <mergeCell ref="A355:D355"/>
    <mergeCell ref="B357:B370"/>
    <mergeCell ref="D357:D358"/>
    <mergeCell ref="D361:D366"/>
    <mergeCell ref="C365:C366"/>
    <mergeCell ref="C367:C369"/>
    <mergeCell ref="D367:D369"/>
    <mergeCell ref="D328:D330"/>
    <mergeCell ref="C331:C335"/>
    <mergeCell ref="D331:D335"/>
    <mergeCell ref="A337:D337"/>
    <mergeCell ref="B339:B350"/>
    <mergeCell ref="C340:C343"/>
    <mergeCell ref="D342:D344"/>
    <mergeCell ref="C347:C348"/>
    <mergeCell ref="D347:D350"/>
    <mergeCell ref="B319:B327"/>
    <mergeCell ref="C319:C323"/>
    <mergeCell ref="C326:C327"/>
    <mergeCell ref="B328:B335"/>
    <mergeCell ref="C328:C330"/>
    <mergeCell ref="A305:D305"/>
    <mergeCell ref="B307:B310"/>
    <mergeCell ref="B311:B318"/>
    <mergeCell ref="D311:D315"/>
    <mergeCell ref="C313:C314"/>
    <mergeCell ref="C315:C316"/>
    <mergeCell ref="A288:D288"/>
    <mergeCell ref="B290:B296"/>
    <mergeCell ref="B297:B300"/>
    <mergeCell ref="D297:D298"/>
    <mergeCell ref="B301:B303"/>
    <mergeCell ref="B266:B273"/>
    <mergeCell ref="C266:C268"/>
    <mergeCell ref="A275:D275"/>
    <mergeCell ref="B277:B286"/>
    <mergeCell ref="C277:C280"/>
    <mergeCell ref="D277:D279"/>
    <mergeCell ref="C281:C282"/>
    <mergeCell ref="D281:D285"/>
    <mergeCell ref="C284:C285"/>
    <mergeCell ref="B254:B256"/>
    <mergeCell ref="B257:B258"/>
    <mergeCell ref="B261:B262"/>
    <mergeCell ref="B263:B264"/>
    <mergeCell ref="B225:B227"/>
    <mergeCell ref="B229:B234"/>
    <mergeCell ref="D233:D234"/>
    <mergeCell ref="A238:D238"/>
    <mergeCell ref="C240:C242"/>
    <mergeCell ref="B242:B250"/>
    <mergeCell ref="B218:B219"/>
    <mergeCell ref="B222:B224"/>
    <mergeCell ref="D223:D224"/>
    <mergeCell ref="A197:D197"/>
    <mergeCell ref="B201:B205"/>
    <mergeCell ref="B206:B207"/>
    <mergeCell ref="B208:B211"/>
    <mergeCell ref="C208:C209"/>
    <mergeCell ref="C251:C253"/>
    <mergeCell ref="B190:B191"/>
    <mergeCell ref="B194:B195"/>
    <mergeCell ref="A161:D161"/>
    <mergeCell ref="B163:B166"/>
    <mergeCell ref="B167:B170"/>
    <mergeCell ref="B171:B172"/>
    <mergeCell ref="B175:B177"/>
    <mergeCell ref="A213:D213"/>
    <mergeCell ref="B215:B216"/>
    <mergeCell ref="A2:A4"/>
    <mergeCell ref="A135:A159"/>
    <mergeCell ref="A5:A52"/>
    <mergeCell ref="A54:A80"/>
    <mergeCell ref="A82:A108"/>
    <mergeCell ref="A111:A133"/>
    <mergeCell ref="A179:D179"/>
    <mergeCell ref="B181:B185"/>
    <mergeCell ref="B186:B189"/>
  </mergeCells>
  <phoneticPr fontId="7" type="noConversion"/>
  <dataValidations count="1">
    <dataValidation type="list" allowBlank="1" showInputMessage="1" showErrorMessage="1" sqref="E1" xr:uid="{00000000-0002-0000-1100-000000000000}">
      <formula1>"繁體中文,简体中文"</formula1>
    </dataValidation>
  </dataValidations>
  <hyperlinks>
    <hyperlink ref="F1" location="对话!A2" display="懒人攻略" xr:uid="{00000000-0004-0000-1100-000000000000}"/>
    <hyperlink ref="G1" location="对话!A161" display="详细节点" xr:uid="{00000000-0004-0000-1100-000001000000}"/>
    <hyperlink ref="D489" location="大地图!A652" display="共有两个刷新点，详见大地图。" xr:uid="{00000000-0004-0000-1100-000002000000}"/>
    <hyperlink ref="H1" location="对话!A482" display="市场调查" xr:uid="{00000000-0004-0000-1100-000003000000}"/>
  </hyperlinks>
  <pageMargins left="0.7" right="0.7" top="0.75" bottom="0.75" header="0.3" footer="0.3"/>
  <pageSetup paperSize="9" orientation="portrait" r:id="rId1"/>
  <ignoredErrors>
    <ignoredError sqref="B7:B8 B10 B12 B14 B16 B19 B22 B25" twoDigitTextYear="1"/>
  </ignoredError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21"/>
  <sheetViews>
    <sheetView workbookViewId="0">
      <pane ySplit="1" topLeftCell="A2" activePane="bottomLeft" state="frozen"/>
      <selection pane="bottomLeft"/>
    </sheetView>
  </sheetViews>
  <sheetFormatPr defaultColWidth="9" defaultRowHeight="14.5"/>
  <cols>
    <col min="1" max="1" width="20.58203125" style="79" customWidth="1"/>
    <col min="2" max="2" width="15.58203125" style="286" customWidth="1"/>
    <col min="3" max="3" width="25.58203125" style="79" customWidth="1"/>
    <col min="4" max="4" width="70.58203125" style="79" customWidth="1"/>
    <col min="5" max="16384" width="9" style="79"/>
  </cols>
  <sheetData>
    <row r="1" spans="1:6" s="75" customFormat="1" ht="17" thickBot="1">
      <c r="A1" s="73" t="s">
        <v>2023</v>
      </c>
      <c r="B1" s="168" t="s">
        <v>3924</v>
      </c>
      <c r="C1" s="203"/>
      <c r="D1" s="76" t="s">
        <v>2021</v>
      </c>
      <c r="E1" s="77" t="s">
        <v>3676</v>
      </c>
      <c r="F1" s="319">
        <f>VLOOKUP(E1,Data!$A:$B,2, FALSE)</f>
        <v>2</v>
      </c>
    </row>
    <row r="2" spans="1:6" ht="23" thickBot="1">
      <c r="A2" s="749" t="str">
        <f>VLOOKUP("為了騎士團", Data!$B:$D,F1, FALSE)</f>
        <v>为了骑士团</v>
      </c>
      <c r="B2" s="750"/>
      <c r="C2" s="750"/>
      <c r="D2" s="751"/>
    </row>
    <row r="3" spans="1:6" ht="14.25" customHeight="1">
      <c r="A3" s="292" t="s">
        <v>3472</v>
      </c>
      <c r="B3" s="284" t="s">
        <v>3473</v>
      </c>
      <c r="C3" s="277" t="s">
        <v>3474</v>
      </c>
      <c r="D3" s="293" t="s">
        <v>3475</v>
      </c>
    </row>
    <row r="4" spans="1:6">
      <c r="A4" s="294" t="str">
        <f>VLOOKUP("聖堂騎士之路", Data!$B:$D,F1, FALSE)</f>
        <v>成为圣殿骑士</v>
      </c>
      <c r="B4" s="821" t="s">
        <v>3477</v>
      </c>
      <c r="C4" s="281" t="str">
        <f>VLOOKUP("隕星", Data!$B:$D,F1, FALSE)&amp;"（1-1-1）"</f>
        <v>陨星（1-1-1）</v>
      </c>
      <c r="D4" s="82"/>
    </row>
    <row r="5" spans="1:6">
      <c r="A5" s="294" t="str">
        <f>VLOOKUP("前生之罪", Data!$B:$D,F1, FALSE)</f>
        <v>罪行</v>
      </c>
      <c r="B5" s="821"/>
      <c r="C5" s="281" t="str">
        <f>VLOOKUP("破碎的異世之劍", Data!$B:$D,F1, FALSE)&amp;"（1-6-1）"</f>
        <v>破损的剑刃（1-6-1）</v>
      </c>
      <c r="D5" s="82"/>
    </row>
    <row r="6" spans="1:6">
      <c r="A6" s="294" t="str">
        <f>VLOOKUP("入會儀式", Data!$B:$D,F1, FALSE)</f>
        <v>入教仪式</v>
      </c>
      <c r="B6" s="821"/>
      <c r="C6" s="281" t="str">
        <f>VLOOKUP("追尋真神教", Data!$B:$D,F1, FALSE)&amp;"（1-8-1）"</f>
        <v>追踪巫师会（1-8-1）</v>
      </c>
      <c r="D6" s="82"/>
    </row>
    <row r="7" spans="1:6">
      <c r="A7" s="294" t="str">
        <f>VLOOKUP("教條規章", Data!$B:$D,F1, FALSE)</f>
        <v>教训</v>
      </c>
      <c r="B7" s="821"/>
      <c r="C7" s="281" t="str">
        <f>VLOOKUP("被囚禁的天使", Data!$B:$D,F1, FALSE)&amp;"（1-9-1）"</f>
        <v>被囚禁的天使（1-9-1）</v>
      </c>
      <c r="D7" s="82"/>
    </row>
    <row r="8" spans="1:6">
      <c r="A8" s="295" t="str">
        <f>VLOOKUP("尋求真相", Data!$B:$D,F1, FALSE)</f>
        <v>寻找真相</v>
      </c>
      <c r="B8" s="822" t="s">
        <v>3482</v>
      </c>
      <c r="C8" s="149" t="str">
        <f>VLOOKUP("沙漠之影", Data!$B:$D,F1, FALSE)&amp;"（2-1-2）"</f>
        <v>沙漠魅影（2-1-2）</v>
      </c>
      <c r="D8" s="97"/>
    </row>
    <row r="9" spans="1:6">
      <c r="A9" s="295" t="str">
        <f>VLOOKUP("危險的日誌", Data!$B:$D,F1, FALSE)</f>
        <v>危险的日志</v>
      </c>
      <c r="B9" s="822"/>
      <c r="C9" s="149" t="str">
        <f>VLOOKUP("往奧卡納斯的道路", Data!$B:$D,F1, FALSE)&amp;"（2-2-1）"</f>
        <v>通往阿尔阿纳斯之路（2-2-1）</v>
      </c>
      <c r="D9" s="97"/>
    </row>
    <row r="10" spans="1:6">
      <c r="A10" s="295" t="str">
        <f>VLOOKUP("面對恐懼", Data!$B:$D,F1, FALSE)</f>
        <v>直面恐惧</v>
      </c>
      <c r="B10" s="822"/>
      <c r="C10" s="149" t="str">
        <f>VLOOKUP("皇室覲見", Data!$B:$D,F1, FALSE)&amp;"（2-4-1）"</f>
        <v>皇室觐见（2-4-1）</v>
      </c>
      <c r="D10" s="97"/>
    </row>
    <row r="11" spans="1:6">
      <c r="A11" s="295" t="str">
        <f>VLOOKUP("揭露的過往", Data!$B:$D,F1, FALSE)</f>
        <v>过往显现</v>
      </c>
      <c r="B11" s="822"/>
      <c r="C11" s="149" t="str">
        <f>VLOOKUP("黑靈魂石", Data!$B:$D,F1, FALSE)&amp;"（2-8-1）"</f>
        <v>黑暗灵魂石（2-8-1）</v>
      </c>
      <c r="D11" s="97"/>
    </row>
    <row r="12" spans="1:6">
      <c r="A12" s="296" t="str">
        <f>VLOOKUP("撕落的書頁", Data!$B:$D,F1, FALSE)</f>
        <v>撕下的书页</v>
      </c>
      <c r="B12" s="823" t="s">
        <v>3487</v>
      </c>
      <c r="C12" s="280" t="str">
        <f>VLOOKUP("戍衛要塞圍困", Data!$B:$D,F1, FALSE)&amp;"（3-1-2）"</f>
        <v>要塞围攻（3-1-2）</v>
      </c>
      <c r="D12" s="218"/>
    </row>
    <row r="13" spans="1:6">
      <c r="A13" s="296" t="str">
        <f>VLOOKUP("聖堂騎士的研究", Data!$B:$D,F1, FALSE)</f>
        <v>圣殿骑士的探索</v>
      </c>
      <c r="B13" s="823"/>
      <c r="C13" s="280" t="str">
        <f>VLOOKUP("扭轉戰況", Data!$B:$D,F1, FALSE)&amp;"（3-2-1）"</f>
        <v>力挽狂澜（3-2-1）</v>
      </c>
      <c r="D13" s="218"/>
    </row>
    <row r="14" spans="1:6">
      <c r="A14" s="296" t="str">
        <f>VLOOKUP("真相", Data!$B:$D,F1, FALSE)</f>
        <v>真相</v>
      </c>
      <c r="B14" s="285" t="s">
        <v>2694</v>
      </c>
      <c r="C14" s="280" t="str">
        <f>VLOOKUP("罪惡之核", Data!$B:$D,F1, FALSE)&amp;"（3-7-1）"</f>
        <v>罪恶之心（3-7-1）</v>
      </c>
      <c r="D14" s="218"/>
    </row>
    <row r="15" spans="1:6">
      <c r="A15" s="296" t="str">
        <f>VLOOKUP("聖典的秘密", Data!$B:$D,F1, FALSE)</f>
        <v>盛典的秘密</v>
      </c>
      <c r="B15" s="285" t="s">
        <v>3487</v>
      </c>
      <c r="C15" s="280" t="str">
        <f>VLOOKUP("攻城器械", Data!$B:$D,F1, FALSE)&amp;"（3-5-1）"</f>
        <v>战争机器（3-5-1）</v>
      </c>
      <c r="D15" s="218" t="str">
        <f>"听完“"&amp;VLOOKUP("真相", Data!$B:$D,F1, FALSE)&amp;"”后激活"</f>
        <v>听完“真相”后激活</v>
      </c>
    </row>
    <row r="16" spans="1:6">
      <c r="A16" s="297" t="str">
        <f>VLOOKUP("聖堂騎士的自白", Data!$B:$D,F1, FALSE)</f>
        <v>圣殿骑士的感受</v>
      </c>
      <c r="B16" s="824" t="s">
        <v>3492</v>
      </c>
      <c r="C16" s="282" t="str">
        <f>VLOOKUP("至高天的隕落", Data!$B:$D,F1, FALSE)&amp;"（4-1-1）"</f>
        <v>高阶天堂的陨落（4-1-1）</v>
      </c>
      <c r="D16" s="298"/>
    </row>
    <row r="17" spans="1:4">
      <c r="A17" s="297" t="str">
        <f>VLOOKUP("愛德莉雅的背叛", Data!$B:$D,F1, FALSE)</f>
        <v>艾德莉亚的背叛</v>
      </c>
      <c r="B17" s="824"/>
      <c r="C17" s="282" t="str">
        <f>VLOOKUP("至高天的隕落", Data!$B:$D,F1, FALSE)&amp;"（4-1-1）"</f>
        <v>高阶天堂的陨落（4-1-1）</v>
      </c>
      <c r="D17" s="298" t="s">
        <v>3495</v>
      </c>
    </row>
    <row r="18" spans="1:4" ht="15" thickBot="1">
      <c r="A18" s="299" t="str">
        <f>VLOOKUP("真神教的秘密", Data!$B:$D,F1, FALSE)</f>
        <v>巫师会的阴影</v>
      </c>
      <c r="B18" s="825"/>
      <c r="C18" s="300" t="str">
        <f>VLOOKUP("至高天的隕落", Data!$B:$D,F1, FALSE)&amp;"（4-1-1）"</f>
        <v>高阶天堂的陨落（4-1-1）</v>
      </c>
      <c r="D18" s="301"/>
    </row>
    <row r="19" spans="1:4" ht="15" thickBot="1"/>
    <row r="20" spans="1:4" ht="23" thickBot="1">
      <c r="A20" s="749" t="str">
        <f>VLOOKUP("做賊的喊抓賊", Data!$B:$D,F1, FALSE)</f>
        <v>贼言贼语</v>
      </c>
      <c r="B20" s="750"/>
      <c r="C20" s="750"/>
      <c r="D20" s="751"/>
    </row>
    <row r="21" spans="1:4">
      <c r="A21" s="292" t="s">
        <v>3472</v>
      </c>
      <c r="B21" s="284" t="s">
        <v>3473</v>
      </c>
      <c r="C21" s="277" t="s">
        <v>3474</v>
      </c>
      <c r="D21" s="293" t="s">
        <v>3475</v>
      </c>
    </row>
    <row r="22" spans="1:4">
      <c r="A22" s="294" t="str">
        <f>VLOOKUP("林登的來歷", Data!$B:$D,F1, FALSE)</f>
        <v>林登的过去</v>
      </c>
      <c r="B22" s="821" t="s">
        <v>3477</v>
      </c>
      <c r="C22" s="281" t="str">
        <f>VLOOKUP("隕星", Data!$B:$D,F1, FALSE)&amp;"（1-1-1）"</f>
        <v>陨星（1-1-1）</v>
      </c>
      <c r="D22" s="82" t="str">
        <f>"城里对话，可获得书籍“"&amp;VLOOKUP("國王港告示", Data!$B:$D,F1, FALSE)&amp;"”"</f>
        <v>城里对话，可获得书籍“国王港账单”</v>
      </c>
    </row>
    <row r="23" spans="1:4">
      <c r="A23" s="294" t="str">
        <f>VLOOKUP("死性不改", Data!$B:$D,F1, FALSE)</f>
        <v>死性不改</v>
      </c>
      <c r="B23" s="821"/>
      <c r="C23" s="281" t="str">
        <f>VLOOKUP("沃薩姆的浩劫", Data!$B:$D,F1, FALSE)&amp;"（1-7-1）"</f>
        <v>沃桑的劫数（1-7-1）</v>
      </c>
      <c r="D23" s="82"/>
    </row>
    <row r="24" spans="1:4">
      <c r="A24" s="294" t="str">
        <f>VLOOKUP("國王港的戰鬥技巧", Data!$B:$D,F1, FALSE)</f>
        <v>国王港的战斗</v>
      </c>
      <c r="B24" s="821"/>
      <c r="C24" s="281" t="str">
        <f>VLOOKUP("追尋真神教", Data!$B:$D,F1, FALSE)&amp;"（1-8-1）"</f>
        <v>追踪巫师会（1-8-1）</v>
      </c>
      <c r="D24" s="82"/>
    </row>
    <row r="25" spans="1:4">
      <c r="A25" s="294" t="str">
        <f>VLOOKUP("順手牽羊", Data!$B:$D,F1, FALSE)</f>
        <v>痞子的诞生</v>
      </c>
      <c r="B25" s="821"/>
      <c r="C25" s="281" t="str">
        <f>VLOOKUP("被囚禁的天使", Data!$B:$D,F1, FALSE)&amp;"（1-9-1）"</f>
        <v>被囚禁的天使（1-9-1）</v>
      </c>
      <c r="D25" s="82"/>
    </row>
    <row r="26" spans="1:4">
      <c r="A26" s="294" t="str">
        <f>VLOOKUP("人生的選擇", Data!$B:$D,F1, FALSE)</f>
        <v>艰难的决定</v>
      </c>
      <c r="B26" s="821"/>
      <c r="C26" s="281" t="str">
        <f>VLOOKUP("返回新崔斯特姆", Data!$B:$D,F1, FALSE)&amp;"（1-10-1）"</f>
        <v>返回新崔斯特姆（1-10-1）</v>
      </c>
      <c r="D26" s="82"/>
    </row>
    <row r="27" spans="1:4">
      <c r="A27" s="295" t="str">
        <f>VLOOKUP("家人", Data!$B:$D,F1, FALSE)</f>
        <v>血脉相连</v>
      </c>
      <c r="B27" s="822" t="s">
        <v>3482</v>
      </c>
      <c r="C27" s="149" t="str">
        <f>VLOOKUP("沙漠之影", Data!$B:$D,F1, FALSE)&amp;"（2-1-2）"</f>
        <v>沙漠魅影（2-1-2）</v>
      </c>
      <c r="D27" s="97"/>
    </row>
    <row r="28" spans="1:4">
      <c r="A28" s="295" t="str">
        <f>VLOOKUP("兄弟殊途", Data!$B:$D,F1, FALSE)</f>
        <v>兄弟陌路</v>
      </c>
      <c r="B28" s="822"/>
      <c r="C28" s="149" t="str">
        <f>VLOOKUP("血之城", Data!$B:$D,F1, FALSE)&amp;"（2-3-1）"</f>
        <v>鲜血之城（2-3-1）</v>
      </c>
      <c r="D28" s="97"/>
    </row>
    <row r="29" spans="1:4">
      <c r="A29" s="295" t="str">
        <f>VLOOKUP("兄長的命運", Data!$B:$D,F1, FALSE)</f>
        <v>守卫的命运</v>
      </c>
      <c r="B29" s="822"/>
      <c r="C29" s="149" t="str">
        <f>VLOOKUP("意外的盟友", Data!$B:$D,F1, FALSE)&amp;"（2-5-1）"</f>
        <v>命运之交（2-5-1）</v>
      </c>
      <c r="D29" s="97"/>
    </row>
    <row r="30" spans="1:4">
      <c r="A30" s="295" t="str">
        <f>VLOOKUP("初戀", Data!$B:$D,F1, FALSE)</f>
        <v>初恋</v>
      </c>
      <c r="B30" s="822"/>
      <c r="C30" s="149" t="str">
        <f>VLOOKUP("血染黃沙", Data!$B:$D,F1, FALSE)&amp;"（2-7-1）"</f>
        <v>血染黄沙（2-7-1）</v>
      </c>
      <c r="D30" s="97"/>
    </row>
    <row r="31" spans="1:4">
      <c r="A31" s="296" t="str">
        <f>VLOOKUP("手足情深", Data!$B:$D,F1, FALSE)</f>
        <v>手足情深</v>
      </c>
      <c r="B31" s="823" t="s">
        <v>3487</v>
      </c>
      <c r="C31" s="280" t="str">
        <f>VLOOKUP("罪惡之核", Data!$B:$D,F1, FALSE)&amp;"（3-7-1）"</f>
        <v>罪恶之心（3-7-1）</v>
      </c>
      <c r="D31" s="218"/>
    </row>
    <row r="32" spans="1:4">
      <c r="A32" s="296" t="str">
        <f>VLOOKUP("盜賊的財寶", Data!$B:$D,F1, FALSE)</f>
        <v>痞子的财产</v>
      </c>
      <c r="B32" s="823"/>
      <c r="C32" s="280" t="str">
        <f>VLOOKUP("靈魂石的震顫", Data!$B:$D,F1, FALSE)&amp;"（3-4-1）"</f>
        <v>灵魂石中的响动（3-4-1）</v>
      </c>
      <c r="D32" s="218"/>
    </row>
    <row r="33" spans="1:4">
      <c r="A33" s="297" t="str">
        <f>VLOOKUP("不樂觀的前景", Data!$B:$D,F1, FALSE)</f>
        <v>灰暗的前景</v>
      </c>
      <c r="B33" s="287" t="s">
        <v>3492</v>
      </c>
      <c r="C33" s="282" t="str">
        <f>VLOOKUP("至高天的隕落", Data!$B:$D,F1, FALSE)&amp;"（4-1-1）"</f>
        <v>高阶天堂的陨落（4-1-1）</v>
      </c>
      <c r="D33" s="298" t="s">
        <v>3494</v>
      </c>
    </row>
    <row r="34" spans="1:4">
      <c r="A34" s="296" t="str">
        <f>VLOOKUP("小偷的秘密", Data!$B:$D,F1, FALSE)</f>
        <v>不光彩的秘密</v>
      </c>
      <c r="B34" s="285" t="s">
        <v>3487</v>
      </c>
      <c r="C34" s="280" t="str">
        <f>VLOOKUP("戍衛要塞圍困", Data!$B:$D,F1, FALSE)&amp;"（3-1-1）"</f>
        <v>要塞围攻（3-1-1）</v>
      </c>
      <c r="D34" s="218"/>
    </row>
    <row r="35" spans="1:4">
      <c r="A35" s="297" t="str">
        <f>VLOOKUP("失散的家人", Data!$B:$D,F1, FALSE)</f>
        <v>失散的家人</v>
      </c>
      <c r="B35" s="824" t="s">
        <v>3492</v>
      </c>
      <c r="C35" s="282" t="str">
        <f>VLOOKUP("至高天的隕落", Data!$B:$D,F1, FALSE)&amp;"（4-1-1）"</f>
        <v>高阶天堂的陨落（4-1-1）</v>
      </c>
      <c r="D35" s="298"/>
    </row>
    <row r="36" spans="1:4" ht="15" thickBot="1">
      <c r="A36" s="299" t="str">
        <f>VLOOKUP("最後的贈禮", Data!$B:$D,F1, FALSE)</f>
        <v>最后的礼物</v>
      </c>
      <c r="B36" s="825"/>
      <c r="C36" s="300" t="str">
        <f>VLOOKUP("萬惡之源", Data!$B:$D,F1, FALSE)&amp;"（4-4-1）"</f>
        <v>大魔神（4-4-1）</v>
      </c>
      <c r="D36" s="301"/>
    </row>
    <row r="37" spans="1:4" ht="15" thickBot="1"/>
    <row r="38" spans="1:4" ht="23" thickBot="1">
      <c r="A38" s="749" t="str">
        <f>VLOOKUP("世紀之謎", Data!$B:$D,F1, FALSE)</f>
        <v>世代的秘密</v>
      </c>
      <c r="B38" s="750"/>
      <c r="C38" s="750"/>
      <c r="D38" s="751"/>
    </row>
    <row r="39" spans="1:4">
      <c r="A39" s="292" t="s">
        <v>3472</v>
      </c>
      <c r="B39" s="284" t="s">
        <v>3473</v>
      </c>
      <c r="C39" s="277" t="s">
        <v>3474</v>
      </c>
      <c r="D39" s="293" t="s">
        <v>3475</v>
      </c>
    </row>
    <row r="40" spans="1:4">
      <c r="A40" s="295" t="str">
        <f>VLOOKUP("艾蓮娜的旅途", Data!$B:$D,F1, FALSE)</f>
        <v>艾蕾娜的旅途</v>
      </c>
      <c r="B40" s="288" t="s">
        <v>3482</v>
      </c>
      <c r="C40" s="149" t="str">
        <f>VLOOKUP("沙漠之影", Data!$B:$D,F1, FALSE)&amp;"（2-1-1）"</f>
        <v>沙漠魅影（2-1-1）</v>
      </c>
      <c r="D40" s="97" t="str">
        <f>"城里对话，可获得书籍“"&amp;VLOOKUP("艾蓮娜的日誌", Data!$B:$D,F1, FALSE)&amp;"”"</f>
        <v>城里对话，可获得书籍“艾雷娜的日志”</v>
      </c>
    </row>
    <row r="41" spans="1:4">
      <c r="A41" s="294" t="str">
        <f>VLOOKUP("失落的年代", Data!$B:$D,F1, FALSE)</f>
        <v>被遗忘的时代</v>
      </c>
      <c r="B41" s="289" t="s">
        <v>3477</v>
      </c>
      <c r="C41" s="281" t="str">
        <f>VLOOKUP("隕星", Data!$B:$D,F1, FALSE)&amp;"（1-1-1）"</f>
        <v>陨星（1-1-1）</v>
      </c>
      <c r="D41" s="82"/>
    </row>
    <row r="42" spans="1:4">
      <c r="A42" s="295" t="str">
        <f>VLOOKUP("始料未及", Data!$B:$D,F1, FALSE)</f>
        <v>出乎预料</v>
      </c>
      <c r="B42" s="828" t="s">
        <v>3482</v>
      </c>
      <c r="C42" s="149" t="str">
        <f>VLOOKUP("血之城", Data!$B:$D,F1, FALSE)&amp;"（2-3-1）"</f>
        <v>鲜血之城（2-3-1）</v>
      </c>
      <c r="D42" s="97"/>
    </row>
    <row r="43" spans="1:4">
      <c r="A43" s="295" t="str">
        <f>VLOOKUP("部分的你", Data!$B:$D,F1, FALSE)</f>
        <v>失落的碎片</v>
      </c>
      <c r="B43" s="829"/>
      <c r="C43" s="149" t="str">
        <f>VLOOKUP("意外的盟友", Data!$B:$D,F1, FALSE)&amp;"（2-5-1）"</f>
        <v>命运之交（2-5-1）</v>
      </c>
      <c r="D43" s="97"/>
    </row>
    <row r="44" spans="1:4">
      <c r="A44" s="295" t="str">
        <f>VLOOKUP("破碎的預言", Data!$B:$D,F1, FALSE)</f>
        <v>破碎的预言</v>
      </c>
      <c r="B44" s="829"/>
      <c r="C44" s="149" t="str">
        <f>VLOOKUP("血染黃沙", Data!$B:$D,F1, FALSE)&amp;"（2-7-1）"</f>
        <v>血染黄沙（2-7-1）</v>
      </c>
      <c r="D44" s="97"/>
    </row>
    <row r="45" spans="1:4">
      <c r="A45" s="295" t="str">
        <f>VLOOKUP("古老的秘密", Data!$B:$D,F1, FALSE)</f>
        <v>古老的秘密</v>
      </c>
      <c r="B45" s="829"/>
      <c r="C45" s="149" t="str">
        <f>VLOOKUP("黑靈魂石", Data!$B:$D,F1, FALSE)&amp;"（2-8-1）"</f>
        <v>黑暗灵魂石（2-8-1）</v>
      </c>
      <c r="D45" s="97"/>
    </row>
    <row r="46" spans="1:4">
      <c r="A46" s="295" t="str">
        <f>VLOOKUP("最初的記憶", Data!$B:$D,F1, FALSE)</f>
        <v>最初的记忆</v>
      </c>
      <c r="B46" s="830"/>
      <c r="C46" s="149" t="str">
        <f>VLOOKUP("謊言之王", Data!$B:$D,F1, FALSE)&amp;"（2-10-1）"</f>
        <v>谎言之王（2-10-1）</v>
      </c>
      <c r="D46" s="97" t="s">
        <v>3506</v>
      </c>
    </row>
    <row r="47" spans="1:4">
      <c r="A47" s="296" t="str">
        <f>VLOOKUP("費斯傑利大法師", Data!$B:$D,F1, FALSE)</f>
        <v>维兹杰雷领主</v>
      </c>
      <c r="B47" s="833" t="s">
        <v>3487</v>
      </c>
      <c r="C47" s="280" t="str">
        <f>VLOOKUP("戍衛要塞圍困", Data!$B:$D,F1, FALSE)&amp;"（3-1-1）"</f>
        <v>要塞围攻（3-1-1）</v>
      </c>
      <c r="D47" s="218"/>
    </row>
    <row r="48" spans="1:4">
      <c r="A48" s="296" t="str">
        <f>VLOOKUP("神聖的誓約", Data!$B:$D,F1, FALSE)</f>
        <v>神圣的契约</v>
      </c>
      <c r="B48" s="834"/>
      <c r="C48" s="280" t="str">
        <f>VLOOKUP("攻城器械", Data!$B:$D,F1, FALSE)&amp;"（3-5-1）"</f>
        <v>战争机器（3-5-1）</v>
      </c>
      <c r="D48" s="218"/>
    </row>
    <row r="49" spans="1:4">
      <c r="A49" s="297" t="str">
        <f>VLOOKUP("莉亞的命運", Data!$B:$D,F1, FALSE)</f>
        <v>莉娅的命运</v>
      </c>
      <c r="B49" s="835" t="s">
        <v>3492</v>
      </c>
      <c r="C49" s="838" t="str">
        <f>VLOOKUP("至高天的隕落", Data!$B:$D,F1, FALSE)&amp;"（4-1-1）"</f>
        <v>高阶天堂的陨落（4-1-1）</v>
      </c>
      <c r="D49" s="298"/>
    </row>
    <row r="50" spans="1:4">
      <c r="A50" s="297" t="str">
        <f>VLOOKUP("失去的朋友", Data!$B:$D,F1, FALSE)</f>
        <v>失去的朋友</v>
      </c>
      <c r="B50" s="836"/>
      <c r="C50" s="839"/>
      <c r="D50" s="298" t="s">
        <v>3494</v>
      </c>
    </row>
    <row r="51" spans="1:4">
      <c r="A51" s="297" t="str">
        <f>VLOOKUP("垂死的天使", Data!$B:$D,F1, FALSE)</f>
        <v>濒死的天使</v>
      </c>
      <c r="B51" s="836"/>
      <c r="C51" s="282" t="str">
        <f>VLOOKUP("希望之光", Data!$B:$D,F1, FALSE)&amp;"（4-2-1）"</f>
        <v>希望之光（4-2-1）</v>
      </c>
      <c r="D51" s="298"/>
    </row>
    <row r="52" spans="1:4" ht="15" thickBot="1">
      <c r="A52" s="299" t="str">
        <f>VLOOKUP("神秘的遺產", Data!$B:$D,F1, FALSE)</f>
        <v>隐秘的传奇</v>
      </c>
      <c r="B52" s="837"/>
      <c r="C52" s="300" t="str">
        <f>VLOOKUP("尖塔之下", Data!$B:$D,F1, FALSE)&amp;"（4-3-1）"</f>
        <v>高塔之下（4-3-1）</v>
      </c>
      <c r="D52" s="301"/>
    </row>
    <row r="53" spans="1:4" ht="15" thickBot="1"/>
    <row r="54" spans="1:4" ht="23" thickBot="1">
      <c r="A54" s="749" t="str">
        <f>VLOOKUP("海德格煩得很", Data!$B:$D,F1, FALSE)</f>
        <v>喋喋不休的黒德里格</v>
      </c>
      <c r="B54" s="750"/>
      <c r="C54" s="750"/>
      <c r="D54" s="751"/>
    </row>
    <row r="55" spans="1:4">
      <c r="A55" s="292" t="s">
        <v>3472</v>
      </c>
      <c r="B55" s="284" t="s">
        <v>3473</v>
      </c>
      <c r="C55" s="277" t="s">
        <v>3474</v>
      </c>
      <c r="D55" s="293" t="s">
        <v>3475</v>
      </c>
    </row>
    <row r="56" spans="1:4">
      <c r="A56" s="294" t="str">
        <f>VLOOKUP("身心交瘁的鐵匠", Data!$B:$D,F1, FALSE)</f>
        <v>疲惫的铁匠</v>
      </c>
      <c r="B56" s="826" t="s">
        <v>2676</v>
      </c>
      <c r="C56" s="281" t="str">
        <f>VLOOKUP("破碎的王冠", Data!$B:$D,F1, FALSE)&amp;"（1-3-1）"</f>
        <v>破损的王冠（1-3-1）</v>
      </c>
      <c r="D56" s="82" t="s">
        <v>3509</v>
      </c>
    </row>
    <row r="57" spans="1:4">
      <c r="A57" s="294" t="str">
        <f>VLOOKUP("新崔斯特瑞姆鎮", Data!$B:$D,F1, FALSE)</f>
        <v>新崔斯特姆</v>
      </c>
      <c r="B57" s="827"/>
      <c r="C57" s="281" t="str">
        <f>VLOOKUP("隕星", Data!$B:$D,F1, FALSE)&amp;"（1-1-2）"</f>
        <v>陨星（1-1-2）</v>
      </c>
      <c r="D57" s="82" t="s">
        <v>3510</v>
      </c>
    </row>
    <row r="58" spans="1:4">
      <c r="A58" s="294" t="str">
        <f>VLOOKUP("海德格的祖父", Data!$B:$D,F1, FALSE)</f>
        <v>黒德里格的祖父</v>
      </c>
      <c r="B58" s="289" t="s">
        <v>3477</v>
      </c>
      <c r="C58" s="281" t="str">
        <f>VLOOKUP("破碎的王冠", Data!$B:$D,F1, FALSE)&amp;"（1-3-2）"</f>
        <v>破损的王冠（1-3-2）</v>
      </c>
      <c r="D58" s="82"/>
    </row>
    <row r="59" spans="1:4">
      <c r="A59" s="294" t="str">
        <f>VLOOKUP("凱恩的下落", Data!$B:$D,F1, FALSE)</f>
        <v>凯恩的失踪</v>
      </c>
      <c r="B59" s="826" t="s">
        <v>2676</v>
      </c>
      <c r="C59" s="281" t="str">
        <f>VLOOKUP("凱恩生死之謎", Data!$B:$D,F1, FALSE)&amp;"（1-2-1）"</f>
        <v>凯恩的遗踪（1-2-1）</v>
      </c>
      <c r="D59" s="82" t="s">
        <v>3540</v>
      </c>
    </row>
    <row r="60" spans="1:4">
      <c r="A60" s="294" t="str">
        <f>VLOOKUP("米菈·埃蒙", Data!$B:$D,F1, FALSE)</f>
        <v>米拉·埃蒙</v>
      </c>
      <c r="B60" s="827"/>
      <c r="C60" s="281" t="str">
        <f>VLOOKUP("黑狂君的統治", Data!$B:$D,F1, FALSE)&amp;"（1-4-1）"</f>
        <v>黑暗国王的统治（1-4-1）</v>
      </c>
      <c r="D60" s="82" t="s">
        <v>3511</v>
      </c>
    </row>
    <row r="61" spans="1:4" ht="16.5" customHeight="1">
      <c r="A61" s="294" t="str">
        <f>VLOOKUP("海德格的父親", Data!$B:$D,F1, FALSE)</f>
        <v>黒德里格的父亲</v>
      </c>
      <c r="B61" s="289" t="s">
        <v>3477</v>
      </c>
      <c r="C61" s="281" t="str">
        <f>VLOOKUP("沃薩姆的浩劫", Data!$B:$D,F1, FALSE)&amp;"（1-7-1）"</f>
        <v>沃桑的劫数（1-7-1）</v>
      </c>
      <c r="D61" s="82"/>
    </row>
    <row r="62" spans="1:4" ht="16.5" customHeight="1">
      <c r="A62" s="294" t="str">
        <f>VLOOKUP("海德格父親的下落/命運", Data!$B:$D,F1, FALSE)</f>
        <v>黒德里格父亲的命运</v>
      </c>
      <c r="B62" s="289" t="s">
        <v>3512</v>
      </c>
      <c r="C62" s="281" t="str">
        <f>VLOOKUP("返回新崔斯特姆", Data!$B:$D,F1, FALSE)&amp;"（1-10-1）"</f>
        <v>返回新崔斯特姆（1-10-1）</v>
      </c>
      <c r="D62" s="82" t="s">
        <v>3513</v>
      </c>
    </row>
    <row r="63" spans="1:4">
      <c r="A63" s="302" t="str">
        <f>VLOOKUP("重返卡爾蒂姆", Data!$B:$D,F1, FALSE)</f>
        <v>返回卡尔蒂姆</v>
      </c>
      <c r="B63" s="828" t="s">
        <v>2684</v>
      </c>
      <c r="C63" s="279" t="str">
        <f>VLOOKUP("沙漠之影", Data!$B:$D,F1, FALSE)&amp;"（2-1-1）"</f>
        <v>沙漠魅影（2-1-1）</v>
      </c>
      <c r="D63" s="97" t="s">
        <v>3536</v>
      </c>
    </row>
    <row r="64" spans="1:4">
      <c r="A64" s="295" t="str">
        <f>VLOOKUP("城市的變化", Data!$B:$D,F1, FALSE)</f>
        <v>旧城新颜</v>
      </c>
      <c r="B64" s="829"/>
      <c r="C64" s="149" t="str">
        <f>VLOOKUP("往奧卡納斯的道路", Data!$B:$D,F1, FALSE)&amp;"（2-2-1）"</f>
        <v>通往阿尔阿纳斯之路（2-2-1）</v>
      </c>
      <c r="D64" s="831" t="s">
        <v>3514</v>
      </c>
    </row>
    <row r="65" spans="1:4">
      <c r="A65" s="295" t="str">
        <f>VLOOKUP("與米菈相識", Data!$B:$D,F1, FALSE)</f>
        <v>罗曼史</v>
      </c>
      <c r="B65" s="830"/>
      <c r="C65" s="149" t="str">
        <f>VLOOKUP("皇室覲見", Data!$B:$D,F1, FALSE)&amp;"（2-4-1）"</f>
        <v>皇室觐见（2-4-1）</v>
      </c>
      <c r="D65" s="832"/>
    </row>
    <row r="66" spans="1:4">
      <c r="A66" s="295" t="str">
        <f>VLOOKUP("關於米菈", Data!$B:$D,F1, FALSE)</f>
        <v>关于米拉</v>
      </c>
      <c r="B66" s="828" t="s">
        <v>3482</v>
      </c>
      <c r="C66" s="149" t="str">
        <f>VLOOKUP("赫拉迪姆的背叛者", Data!$B:$D,F1, FALSE)&amp;"（2-6-1）"</f>
        <v>赫拉迪姆背叛者（2-6-1）</v>
      </c>
      <c r="D66" s="97"/>
    </row>
    <row r="67" spans="1:4">
      <c r="A67" s="295" t="str">
        <f>VLOOKUP("維欽人", Data!$B:$D,F1, FALSE)</f>
        <v>维辛</v>
      </c>
      <c r="B67" s="829"/>
      <c r="C67" s="149" t="str">
        <f>VLOOKUP("血染黃沙", Data!$B:$D,F1, FALSE)&amp;"（2-7-1）"</f>
        <v>血染黄沙（2-7-1）</v>
      </c>
      <c r="D67" s="97"/>
    </row>
    <row r="68" spans="1:4">
      <c r="A68" s="295" t="str">
        <f>VLOOKUP("崔斯特姆（之行）", Data!$B:$D,F1, FALSE)</f>
        <v>前往崔斯特姆</v>
      </c>
      <c r="B68" s="830"/>
      <c r="C68" s="149" t="str">
        <f>VLOOKUP("黑靈魂石", Data!$B:$D,F1, FALSE)&amp;"（2-8-1）"</f>
        <v>黑暗灵魂石（2-8-1）</v>
      </c>
      <c r="D68" s="97"/>
    </row>
    <row r="69" spans="1:4">
      <c r="A69" s="295" t="str">
        <f>VLOOKUP("脫離彼列魔爪後的卡爾蒂姆", Data!$B:$D,F1, FALSE)</f>
        <v>彼列肆虐后的卡尔蒂姆</v>
      </c>
      <c r="B69" s="288" t="s">
        <v>3515</v>
      </c>
      <c r="C69" s="149" t="str">
        <f>VLOOKUP("謊言之王", Data!$B:$D,F1, FALSE)&amp;"（2-10-1）"</f>
        <v>谎言之王（2-10-1）</v>
      </c>
      <c r="D69" s="97" t="s">
        <v>3539</v>
      </c>
    </row>
    <row r="70" spans="1:4">
      <c r="A70" s="296" t="str">
        <f>VLOOKUP("未來", Data!$B:$D,F1, FALSE)</f>
        <v>未来</v>
      </c>
      <c r="B70" s="833" t="s">
        <v>2694</v>
      </c>
      <c r="C70" s="280" t="str">
        <f>VLOOKUP("戍衛要塞圍困", Data!$B:$D,F1, FALSE)&amp;"（3-1-2）"</f>
        <v>要塞围攻（3-1-2）</v>
      </c>
      <c r="D70" s="218" t="s">
        <v>3516</v>
      </c>
    </row>
    <row r="71" spans="1:4">
      <c r="A71" s="296" t="str">
        <f>VLOOKUP("升起投石器", Data!$B:$D,F1, FALSE)</f>
        <v>架设投石器</v>
      </c>
      <c r="B71" s="841"/>
      <c r="C71" s="280" t="str">
        <f>VLOOKUP("扭轉戰況", Data!$B:$D,F1, FALSE)&amp;"（3-2-1）"</f>
        <v>力挽狂澜（3-2-1）</v>
      </c>
      <c r="D71" s="218" t="s">
        <v>3537</v>
      </c>
    </row>
    <row r="72" spans="1:4">
      <c r="A72" s="296" t="str">
        <f>VLOOKUP("最終目標", Data!$B:$D,F1, FALSE)</f>
        <v>终极目标</v>
      </c>
      <c r="B72" s="841"/>
      <c r="C72" s="280" t="str">
        <f>VLOOKUP("靈魂石的震顫", Data!$B:$D,F1, FALSE)&amp;"（3-4-1）"</f>
        <v>灵魂石中的响动（3-4-1）</v>
      </c>
      <c r="D72" s="218" t="s">
        <v>3538</v>
      </c>
    </row>
    <row r="73" spans="1:4">
      <c r="A73" s="296" t="str">
        <f>VLOOKUP("扭轉戰局", Data!$B:$D,F1, FALSE)</f>
        <v>战局</v>
      </c>
      <c r="B73" s="841"/>
      <c r="C73" s="280" t="str">
        <f>VLOOKUP("攻城器械", Data!$B:$D,F1, FALSE)&amp;"（3-5-1）"</f>
        <v>战争机器（3-5-1）</v>
      </c>
      <c r="D73" s="218" t="s">
        <v>3517</v>
      </c>
    </row>
    <row r="74" spans="1:4">
      <c r="A74" s="296" t="str">
        <f>VLOOKUP("緊張", Data!$B:$D,F1, FALSE)</f>
        <v>紧张</v>
      </c>
      <c r="B74" s="841"/>
      <c r="C74" s="280" t="str">
        <f>VLOOKUP("攻城破壞獸", Data!$B:$D,F1, FALSE)&amp;"（3-6-1）"</f>
        <v>攻城兽（3-6-1）</v>
      </c>
      <c r="D74" s="842" t="s">
        <v>3513</v>
      </c>
    </row>
    <row r="75" spans="1:4">
      <c r="A75" s="296" t="str">
        <f>VLOOKUP("戍衛要塞", Data!$B:$D,F1, FALSE)</f>
        <v>巴斯廷要塞</v>
      </c>
      <c r="B75" s="834"/>
      <c r="C75" s="280" t="str">
        <f>VLOOKUP("戍衛要塞圍困", Data!$B:$D,F1, FALSE)&amp;"（3-1-1）"</f>
        <v>要塞围攻（3-1-1）</v>
      </c>
      <c r="D75" s="842"/>
    </row>
    <row r="76" spans="1:4">
      <c r="A76" s="296" t="str">
        <f>VLOOKUP("海德格的哀傷", Data!$B:$D,F1, FALSE)</f>
        <v>黒德里格的悲痛</v>
      </c>
      <c r="B76" s="285" t="s">
        <v>3487</v>
      </c>
      <c r="C76" s="280" t="str">
        <f>VLOOKUP("罪惡之核", Data!$B:$D,F1, FALSE)&amp;"（3-7-1）"</f>
        <v>罪恶之心（3-7-1）</v>
      </c>
      <c r="D76" s="218" t="s">
        <v>3518</v>
      </c>
    </row>
    <row r="77" spans="1:4" ht="15" thickBot="1">
      <c r="A77" s="299" t="str">
        <f>VLOOKUP("道歉", Data!$B:$D,F1, FALSE)</f>
        <v>道歉</v>
      </c>
      <c r="B77" s="303" t="s">
        <v>3492</v>
      </c>
      <c r="C77" s="300" t="str">
        <f>VLOOKUP("希望之光", Data!$B:$D,F1, FALSE)&amp;"（4-2-2）"</f>
        <v>希望之光（4-2-2）</v>
      </c>
      <c r="D77" s="301"/>
    </row>
    <row r="78" spans="1:4" ht="15" thickBot="1"/>
    <row r="79" spans="1:4" ht="23" thickBot="1">
      <c r="A79" s="749" t="str">
        <f>VLOOKUP("大家都愛沈老貪", Data!$B:$D,F1, FALSE)</f>
        <v>人人都爱沈老贪</v>
      </c>
      <c r="B79" s="750"/>
      <c r="C79" s="750"/>
      <c r="D79" s="751"/>
    </row>
    <row r="80" spans="1:4">
      <c r="A80" s="292" t="s">
        <v>3472</v>
      </c>
      <c r="B80" s="284" t="s">
        <v>3473</v>
      </c>
      <c r="C80" s="277" t="s">
        <v>3474</v>
      </c>
      <c r="D80" s="293" t="s">
        <v>3475</v>
      </c>
    </row>
    <row r="81" spans="1:4">
      <c r="A81" s="294" t="str">
        <f>VLOOKUP("無法安息的亡者", Data!$B:$D,F1, FALSE)</f>
        <v>无宁亡者</v>
      </c>
      <c r="B81" s="289" t="s">
        <v>2676</v>
      </c>
      <c r="C81" s="843" t="str">
        <f>VLOOKUP("破碎的王冠", Data!$B:$D,F1, FALSE)&amp;"（1-3-1）"</f>
        <v>破损的王冠（1-3-1）</v>
      </c>
      <c r="D81" s="82" t="s">
        <v>3519</v>
      </c>
    </row>
    <row r="82" spans="1:4">
      <c r="A82" s="294" t="str">
        <f>VLOOKUP("談談你自己", Data!$B:$D,F1, FALSE)</f>
        <v>谈谈你自己</v>
      </c>
      <c r="B82" s="289" t="s">
        <v>3477</v>
      </c>
      <c r="C82" s="844"/>
      <c r="D82" s="82"/>
    </row>
    <row r="83" spans="1:4">
      <c r="A83" s="294" t="str">
        <f>VLOOKUP("迪卡·凱恩", Data!$B:$D,F1, FALSE)</f>
        <v>迪卡德·凯恩</v>
      </c>
      <c r="B83" s="821" t="s">
        <v>2676</v>
      </c>
      <c r="C83" s="845"/>
      <c r="D83" s="82" t="s">
        <v>3520</v>
      </c>
    </row>
    <row r="84" spans="1:4">
      <c r="A84" s="294" t="str">
        <f>VLOOKUP("珠寶", Data!$B:$D,F1, FALSE)</f>
        <v>宝石</v>
      </c>
      <c r="B84" s="821"/>
      <c r="C84" s="281" t="str">
        <f>VLOOKUP("破碎的王冠", Data!$B:$D,F1, FALSE)&amp;"（1-3-2）"</f>
        <v>破损的王冠（1-3-2）</v>
      </c>
      <c r="D84" s="82" t="s">
        <v>3521</v>
      </c>
    </row>
    <row r="85" spans="1:4">
      <c r="A85" s="294" t="str">
        <f>VLOOKUP("李奧瑞克王", Data!$B:$D,F1, FALSE)</f>
        <v>李奥瑞克国王</v>
      </c>
      <c r="B85" s="821"/>
      <c r="C85" s="281" t="str">
        <f>VLOOKUP("黑狂君的統治", Data!$B:$D,F1, FALSE)&amp;"（1-4-1）"</f>
        <v>黑暗国王的统治（1-4-1）</v>
      </c>
      <c r="D85" s="82" t="s">
        <v>3522</v>
      </c>
    </row>
    <row r="86" spans="1:4">
      <c r="A86" s="294" t="str">
        <f>VLOOKUP("隕落之星", Data!$B:$D,F1, FALSE)</f>
        <v>陨星</v>
      </c>
      <c r="B86" s="821"/>
      <c r="C86" s="281" t="str">
        <f>VLOOKUP("異世之劍", Data!$B:$D,F1, FALSE)&amp;"（1-5-1）"</f>
        <v>奇异之人的剑（1-5-1）</v>
      </c>
      <c r="D86" s="82" t="s">
        <v>3541</v>
      </c>
    </row>
    <row r="87" spans="1:4">
      <c r="A87" s="294" t="str">
        <f>VLOOKUP("世界", Data!$B:$D,F1, FALSE)</f>
        <v>世界</v>
      </c>
      <c r="B87" s="821"/>
      <c r="C87" s="281" t="str">
        <f>VLOOKUP("破碎的異世之劍", Data!$B:$D,F1, FALSE)&amp;"（1-6-1）"</f>
        <v>破损的剑刃（1-6-1）</v>
      </c>
      <c r="D87" s="82" t="s">
        <v>3542</v>
      </c>
    </row>
    <row r="88" spans="1:4">
      <c r="A88" s="294" t="str">
        <f>VLOOKUP("黑暗的景象", Data!$B:$D,F1, FALSE)</f>
        <v>黑暗预示</v>
      </c>
      <c r="B88" s="821"/>
      <c r="C88" s="281" t="str">
        <f>VLOOKUP("沃薩姆的浩劫", Data!$B:$D,F1, FALSE)&amp;"（1-7-1）"</f>
        <v>沃桑的劫数（1-7-1）</v>
      </c>
      <c r="D88" s="82" t="s">
        <v>3613</v>
      </c>
    </row>
    <row r="89" spans="1:4">
      <c r="A89" s="294" t="str">
        <f>VLOOKUP("哀悼", Data!$B:$D,F1, FALSE)</f>
        <v>哀伤</v>
      </c>
      <c r="B89" s="821"/>
      <c r="C89" s="281" t="str">
        <f>VLOOKUP("追尋真神教", Data!$B:$D,F1, FALSE)&amp;"（1-8-1）"</f>
        <v>追踪巫师会（1-8-1）</v>
      </c>
      <c r="D89" s="82" t="s">
        <v>3614</v>
      </c>
    </row>
    <row r="90" spans="1:4">
      <c r="A90" s="294" t="str">
        <f>VLOOKUP("陌生人", Data!$B:$D,F1, FALSE)</f>
        <v>奇异之人</v>
      </c>
      <c r="B90" s="821"/>
      <c r="C90" s="281" t="str">
        <f>VLOOKUP("被囚禁的天使", Data!$B:$D,F1, FALSE)&amp;"（1-9-1）"</f>
        <v>被囚禁的天使（1-9-1）</v>
      </c>
      <c r="D90" s="82" t="s">
        <v>3543</v>
      </c>
    </row>
    <row r="91" spans="1:4">
      <c r="A91" s="294" t="str">
        <f>VLOOKUP("前方的旅程", Data!$B:$D,F1, FALSE)</f>
        <v>前方的旅程</v>
      </c>
      <c r="B91" s="821"/>
      <c r="C91" s="281" t="str">
        <f>VLOOKUP("返回新崔斯特姆", Data!$B:$D,F1, FALSE)&amp;"（1-10-1）"</f>
        <v>返回新崔斯特姆（1-10-1）</v>
      </c>
      <c r="D91" s="82" t="s">
        <v>3519</v>
      </c>
    </row>
    <row r="92" spans="1:4">
      <c r="A92" s="295" t="str">
        <f>VLOOKUP("稀世珠寶", Data!$B:$D,F1, FALSE)</f>
        <v>一件特别的珠宝</v>
      </c>
      <c r="B92" s="288" t="s">
        <v>3515</v>
      </c>
      <c r="C92" s="840" t="str">
        <f>VLOOKUP("沙漠之影", Data!$B:$D,F1, FALSE)&amp;"（2-1-1）"</f>
        <v>沙漠魅影（2-1-1）</v>
      </c>
      <c r="D92" s="97" t="s">
        <v>3618</v>
      </c>
    </row>
    <row r="93" spans="1:4">
      <c r="A93" s="295" t="str">
        <f>VLOOKUP("酷熱的沙漠", Data!$B:$D,F1, FALSE)</f>
        <v>酷热的沙漠</v>
      </c>
      <c r="B93" s="288" t="s">
        <v>2684</v>
      </c>
      <c r="C93" s="840"/>
      <c r="D93" s="97" t="s">
        <v>3524</v>
      </c>
    </row>
    <row r="94" spans="1:4">
      <c r="A94" s="295" t="str">
        <f>VLOOKUP("妙手賊神的傳說（誤認身份）", Data!$B:$D,F1, FALSE)</f>
        <v>贼老骗的传说（错误身份）</v>
      </c>
      <c r="B94" s="288" t="s">
        <v>3515</v>
      </c>
      <c r="C94" s="840"/>
      <c r="D94" s="97" t="str">
        <f>"听完“"&amp;VLOOKUP("稀世珠寶", Data!$B:$D,F1, FALSE)&amp;"”后激活，对话后获得书籍“"&amp;VLOOKUP("妙手賊神的傳說", Data!$B:$D,F1, FALSE)&amp;"”，第三章结束前对话"</f>
        <v>听完“一件特别的珠宝”后激活，对话后获得书籍“贼老骗的传说”，第三章结束前对话</v>
      </c>
    </row>
    <row r="95" spans="1:4">
      <c r="A95" s="295" t="str">
        <f>VLOOKUP("卡爾蒂姆", Data!$B:$D,F1, FALSE)</f>
        <v>卡尔蒂姆</v>
      </c>
      <c r="B95" s="822" t="s">
        <v>2684</v>
      </c>
      <c r="C95" s="149" t="str">
        <f>VLOOKUP("皇室覲見", Data!$B:$D,F1, FALSE)&amp;"（2-4-1）"</f>
        <v>皇室觐见（2-4-1）</v>
      </c>
      <c r="D95" s="97" t="s">
        <v>3525</v>
      </c>
    </row>
    <row r="96" spans="1:4">
      <c r="A96" s="295" t="str">
        <f>VLOOKUP("神秘的傳聞", Data!$B:$D,F1, FALSE)</f>
        <v>神秘的传说</v>
      </c>
      <c r="B96" s="822"/>
      <c r="C96" s="149" t="str">
        <f>VLOOKUP("沙漠之影", Data!$B:$D,F1, FALSE)&amp;"（2-1-1）"</f>
        <v>沙漠魅影（2-1-1）</v>
      </c>
      <c r="D96" s="97" t="s">
        <v>3526</v>
      </c>
    </row>
    <row r="97" spans="1:4">
      <c r="A97" s="295" t="str">
        <f>VLOOKUP("佐頓庫勒", Data!$B:$D,F1, FALSE)</f>
        <v>佐敦·库勒</v>
      </c>
      <c r="B97" s="822"/>
      <c r="C97" s="149" t="str">
        <f>VLOOKUP("赫拉迪姆的背叛者", Data!$B:$D,F1, FALSE)&amp;"（2-6-1）"</f>
        <v>赫拉迪姆背叛者（2-6-1）</v>
      </c>
      <c r="D97" s="97" t="s">
        <v>3527</v>
      </c>
    </row>
    <row r="98" spans="1:4">
      <c r="A98" s="295" t="str">
        <f>VLOOKUP("真假傳說", Data!$B:$D,F1, FALSE)</f>
        <v>传说与神话</v>
      </c>
      <c r="B98" s="822" t="s">
        <v>3515</v>
      </c>
      <c r="C98" s="149" t="str">
        <f>VLOOKUP("血染黃沙", Data!$B:$D,F1, FALSE)&amp;"（2-7-1）"</f>
        <v>血染黄沙（2-7-1）</v>
      </c>
      <c r="D98" s="97" t="s">
        <v>3544</v>
      </c>
    </row>
    <row r="99" spans="1:4">
      <c r="A99" s="295" t="str">
        <f>VLOOKUP("珠寶的代價", Data!$B:$D,F1, FALSE)</f>
        <v>珠宝的代价</v>
      </c>
      <c r="B99" s="822"/>
      <c r="C99" s="149" t="str">
        <f>VLOOKUP("黑靈魂石", Data!$B:$D,F1, FALSE)&amp;"（2-8-1）"</f>
        <v>黑暗灵魂石（2-8-1）</v>
      </c>
      <c r="D99" s="97" t="s">
        <v>3523</v>
      </c>
    </row>
    <row r="100" spans="1:4">
      <c r="A100" s="295" t="str">
        <f>VLOOKUP("黑靈魂石", Data!$B:$D,F1, FALSE)</f>
        <v>黑暗灵魂石</v>
      </c>
      <c r="B100" s="288" t="s">
        <v>2684</v>
      </c>
      <c r="C100" s="149" t="str">
        <f>VLOOKUP("肅清卡爾蒂姆", Data!$B:$D,F1, FALSE)&amp;"（2-9-1）"</f>
        <v>净化卡尔蒂姆（2-9-1）</v>
      </c>
      <c r="D100" s="97" t="s">
        <v>3528</v>
      </c>
    </row>
    <row r="101" spans="1:4">
      <c r="A101" s="296" t="str">
        <f>VLOOKUP("寒冷的北方", Data!$B:$D,F1, FALSE)</f>
        <v>严寒的北方</v>
      </c>
      <c r="B101" s="285" t="s">
        <v>2694</v>
      </c>
      <c r="C101" s="280" t="str">
        <f>VLOOKUP("戍衛要塞圍困", Data!$B:$D,F1, FALSE)&amp;"（3-1-1）"</f>
        <v>要塞围攻（3-1-1）</v>
      </c>
      <c r="D101" s="218" t="s">
        <v>3529</v>
      </c>
    </row>
    <row r="102" spans="1:4">
      <c r="A102" s="296" t="str">
        <f>VLOOKUP("回味往事", Data!$B:$D,F1, FALSE)</f>
        <v>更多的回忆</v>
      </c>
      <c r="B102" s="823" t="s">
        <v>3487</v>
      </c>
      <c r="C102" s="280" t="str">
        <f>VLOOKUP("扭轉戰況", Data!$B:$D,F1, FALSE)&amp;"（3-2-1）"</f>
        <v>力挽狂澜（3-2-1）</v>
      </c>
      <c r="D102" s="218" t="str">
        <f>"找泰瑞尔接任务，听完“"&amp;VLOOKUP("回憶", Data!$B:$D,F1, FALSE)&amp;"”后激活"</f>
        <v>找泰瑞尔接任务，听完“回忆”后激活</v>
      </c>
    </row>
    <row r="103" spans="1:4">
      <c r="A103" s="296" t="str">
        <f>VLOOKUP("寶石的來歷", Data!$B:$D,F1, FALSE)</f>
        <v>珠宝的本质</v>
      </c>
      <c r="B103" s="823"/>
      <c r="C103" s="280" t="str">
        <f>VLOOKUP("攻城破壞獸", Data!$B:$D,F1, FALSE)&amp;"（3-6-1）"</f>
        <v>攻城兽（3-6-1）</v>
      </c>
      <c r="D103" s="218"/>
    </row>
    <row r="104" spans="1:4">
      <c r="A104" s="296" t="str">
        <f>VLOOKUP("上戰場", Data!$B:$D,F1, FALSE)</f>
        <v>战场</v>
      </c>
      <c r="B104" s="823" t="s">
        <v>2694</v>
      </c>
      <c r="C104" s="280" t="str">
        <f>VLOOKUP("攻城器械", Data!$B:$D,F1, FALSE)&amp;"（3-5-1）"</f>
        <v>战争机器（3-5-1）</v>
      </c>
      <c r="D104" s="218" t="s">
        <v>3530</v>
      </c>
    </row>
    <row r="105" spans="1:4">
      <c r="A105" s="296" t="str">
        <f>VLOOKUP("結束之後", Data!$B:$D,F1, FALSE)</f>
        <v>结局</v>
      </c>
      <c r="B105" s="823"/>
      <c r="C105" s="280" t="str">
        <f>VLOOKUP("罪惡之核", Data!$B:$D,F1, FALSE)&amp;"（3-7-1）"</f>
        <v>罪恶之心（3-7-1）</v>
      </c>
      <c r="D105" s="218" t="s">
        <v>3523</v>
      </c>
    </row>
    <row r="106" spans="1:4">
      <c r="A106" s="296" t="str">
        <f>VLOOKUP("困難的問題", Data!$B:$D,F1, FALSE)</f>
        <v>难题</v>
      </c>
      <c r="B106" s="285" t="s">
        <v>3487</v>
      </c>
      <c r="C106" s="280" t="str">
        <f>VLOOKUP("攻城器械", Data!$B:$D,F1, FALSE)&amp;"（3-5-1）"</f>
        <v>战争机器（3-5-1）</v>
      </c>
      <c r="D106" s="218"/>
    </row>
    <row r="107" spans="1:4">
      <c r="A107" s="297" t="str">
        <f>VLOOKUP("晦暗的日子", Data!$B:$D,F1, FALSE)</f>
        <v>黑暗的日子</v>
      </c>
      <c r="B107" s="824" t="s">
        <v>3492</v>
      </c>
      <c r="C107" s="838" t="str">
        <f>VLOOKUP("至高天的隕落", Data!$B:$D,F1, FALSE)&amp;"（4-1-1）"</f>
        <v>高阶天堂的陨落（4-1-1）</v>
      </c>
      <c r="D107" s="298" t="s">
        <v>3494</v>
      </c>
    </row>
    <row r="108" spans="1:4">
      <c r="A108" s="297" t="str">
        <f>VLOOKUP("希望", Data!$B:$D,F1, FALSE)</f>
        <v>希望</v>
      </c>
      <c r="B108" s="824"/>
      <c r="C108" s="848"/>
      <c r="D108" s="298" t="s">
        <v>3531</v>
      </c>
    </row>
    <row r="109" spans="1:4">
      <c r="A109" s="297" t="str">
        <f>VLOOKUP("一波又起", Data!$B:$D,F1, FALSE)</f>
        <v>刨根问底</v>
      </c>
      <c r="B109" s="824"/>
      <c r="C109" s="839"/>
      <c r="D109" s="298"/>
    </row>
    <row r="110" spans="1:4">
      <c r="A110" s="297" t="str">
        <f>VLOOKUP("莉亞的靈魂", Data!$B:$D,F1, FALSE)</f>
        <v>莉娅的灵魂</v>
      </c>
      <c r="B110" s="824"/>
      <c r="C110" s="282" t="str">
        <f>VLOOKUP("希望之光", Data!$B:$D,F1, FALSE)&amp;"（4-2-1）"</f>
        <v>希望之光（4-2-1）</v>
      </c>
      <c r="D110" s="298"/>
    </row>
    <row r="111" spans="1:4">
      <c r="A111" s="297" t="str">
        <f>VLOOKUP("神或人", Data!$B:$D,F1, FALSE)</f>
        <v>神或人</v>
      </c>
      <c r="B111" s="824"/>
      <c r="C111" s="282" t="str">
        <f>VLOOKUP("尖塔之下", Data!$B:$D,F1, FALSE)&amp;"（4-3-1）"</f>
        <v>高塔之下（4-3-1）</v>
      </c>
      <c r="D111" s="298"/>
    </row>
    <row r="112" spans="1:4">
      <c r="A112" s="297" t="str">
        <f>VLOOKUP("毀滅與腐敗", Data!$B:$D,F1, FALSE)</f>
        <v>毁灭与腐败</v>
      </c>
      <c r="B112" s="824"/>
      <c r="C112" s="282" t="str">
        <f>VLOOKUP("尖塔之下", Data!$B:$D,F1, FALSE)&amp;"（4-3-1）"</f>
        <v>高塔之下（4-3-1）</v>
      </c>
      <c r="D112" s="298" t="s">
        <v>3532</v>
      </c>
    </row>
    <row r="113" spans="1:4">
      <c r="A113" s="297" t="str">
        <f>VLOOKUP("恐懼之王", Data!$B:$D,F1, FALSE)</f>
        <v>恐惧之王</v>
      </c>
      <c r="B113" s="824"/>
      <c r="C113" s="282" t="str">
        <f>VLOOKUP("萬惡之源", Data!$B:$D,F1, FALSE)&amp;"（4-4-1）"</f>
        <v>大魔神（4-4-1）</v>
      </c>
      <c r="D113" s="298" t="s">
        <v>3533</v>
      </c>
    </row>
    <row r="114" spans="1:4" ht="15" thickBot="1">
      <c r="A114" s="299" t="str">
        <f>VLOOKUP("勝利", Data!$B:$D,F1, FALSE)</f>
        <v>胜利</v>
      </c>
      <c r="B114" s="825"/>
      <c r="C114" s="300" t="str">
        <f>VLOOKUP("萬惡之源", Data!$B:$D,F1, FALSE)&amp;"（4-4-2）"</f>
        <v>大魔神（4-4-2）</v>
      </c>
      <c r="D114" s="304" t="s">
        <v>3534</v>
      </c>
    </row>
    <row r="115" spans="1:4" ht="15" thickBot="1"/>
    <row r="116" spans="1:4" ht="23" thickBot="1">
      <c r="A116" s="749" t="str">
        <f>VLOOKUP("請留步，聽我說個故事", Data!$B:$D,F1, FALSE)</f>
        <v>英雄请留步，且听我一言</v>
      </c>
      <c r="B116" s="750"/>
      <c r="C116" s="750"/>
      <c r="D116" s="751"/>
    </row>
    <row r="117" spans="1:4">
      <c r="A117" s="292" t="s">
        <v>3472</v>
      </c>
      <c r="B117" s="284" t="s">
        <v>3473</v>
      </c>
      <c r="C117" s="277" t="s">
        <v>3474</v>
      </c>
      <c r="D117" s="293" t="s">
        <v>3475</v>
      </c>
    </row>
    <row r="118" spans="1:4">
      <c r="A118" s="294" t="str">
        <f>VLOOKUP("無法安息的亡者", Data!$B:$D,F1, FALSE)</f>
        <v>无宁亡者</v>
      </c>
      <c r="B118" s="821" t="s">
        <v>2676</v>
      </c>
      <c r="C118" s="850" t="str">
        <f>VLOOKUP("破碎的王冠", Data!$B:$D,F1, FALSE)&amp;"（1-3-1）"</f>
        <v>破损的王冠（1-3-1）</v>
      </c>
      <c r="D118" s="851" t="s">
        <v>3535</v>
      </c>
    </row>
    <row r="119" spans="1:4">
      <c r="A119" s="294" t="str">
        <f>VLOOKUP("談談你自己", Data!$B:$D,F1, FALSE)</f>
        <v>谈谈你自己</v>
      </c>
      <c r="B119" s="821"/>
      <c r="C119" s="850"/>
      <c r="D119" s="851"/>
    </row>
    <row r="120" spans="1:4">
      <c r="A120" s="294" t="str">
        <f>VLOOKUP("迪卡·凱恩", Data!$B:$D,F1, FALSE)</f>
        <v>迪卡德·凯恩</v>
      </c>
      <c r="B120" s="821"/>
      <c r="C120" s="850"/>
      <c r="D120" s="851"/>
    </row>
    <row r="121" spans="1:4">
      <c r="A121" s="294" t="str">
        <f>VLOOKUP("珠寶", Data!$B:$D,F1, FALSE)</f>
        <v>宝石</v>
      </c>
      <c r="B121" s="821"/>
      <c r="C121" s="850"/>
      <c r="D121" s="82" t="s">
        <v>3522</v>
      </c>
    </row>
    <row r="122" spans="1:4">
      <c r="A122" s="294" t="str">
        <f>VLOOKUP("李奧瑞克王", Data!$B:$D,F1, FALSE)</f>
        <v>李奥瑞克国王</v>
      </c>
      <c r="B122" s="821"/>
      <c r="C122" s="850" t="str">
        <f>VLOOKUP("異世之劍", Data!$B:$D,F1, FALSE)&amp;"（1-5-1）"</f>
        <v>奇异之人的剑（1-5-1）</v>
      </c>
      <c r="D122" s="851" t="s">
        <v>3535</v>
      </c>
    </row>
    <row r="123" spans="1:4">
      <c r="A123" s="294" t="str">
        <f>VLOOKUP("隕落之星", Data!$B:$D,F1, FALSE)</f>
        <v>陨星</v>
      </c>
      <c r="B123" s="821"/>
      <c r="C123" s="850"/>
      <c r="D123" s="851"/>
    </row>
    <row r="124" spans="1:4">
      <c r="A124" s="294" t="str">
        <f>VLOOKUP("世界", Data!$B:$D,F1, FALSE)</f>
        <v>世界</v>
      </c>
      <c r="B124" s="821"/>
      <c r="C124" s="281" t="str">
        <f>VLOOKUP("破碎的異世之劍", Data!$B:$D,F1, FALSE)&amp;"（1-6-1）"</f>
        <v>破损的剑刃（1-6-1）</v>
      </c>
      <c r="D124" s="851"/>
    </row>
    <row r="125" spans="1:4">
      <c r="A125" s="294" t="str">
        <f>VLOOKUP("黑暗的景象", Data!$B:$D,F1, FALSE)</f>
        <v>黑暗预示</v>
      </c>
      <c r="B125" s="821"/>
      <c r="C125" s="850" t="str">
        <f>VLOOKUP("沃薩姆的浩劫", Data!$B:$D,F1, FALSE)&amp;"（1-7-1）"</f>
        <v>沃桑的劫数（1-7-1）</v>
      </c>
      <c r="D125" s="851"/>
    </row>
    <row r="126" spans="1:4">
      <c r="A126" s="294" t="str">
        <f>VLOOKUP("哀悼", Data!$B:$D,F1, FALSE)</f>
        <v>哀伤</v>
      </c>
      <c r="B126" s="821"/>
      <c r="C126" s="850"/>
      <c r="D126" s="851"/>
    </row>
    <row r="127" spans="1:4" ht="15" thickBot="1">
      <c r="A127" s="305" t="str">
        <f>VLOOKUP("陌生人", Data!$B:$D,F1, FALSE)</f>
        <v>奇异之人</v>
      </c>
      <c r="B127" s="849"/>
      <c r="C127" s="306" t="str">
        <f>VLOOKUP("被囚禁的天使", Data!$B:$D,F1, FALSE)&amp;"（1-3-1）"</f>
        <v>被囚禁的天使（1-3-1）</v>
      </c>
      <c r="D127" s="88" t="str">
        <f>"听完“"&amp;VLOOKUP("世界之石", Data!$B:$D,F1, FALSE)&amp;"”后激活，1-7-1找泰瑞尔接任务前对话"</f>
        <v>听完“世界之石”后激活，1-7-1找泰瑞尔接任务前对话</v>
      </c>
    </row>
    <row r="128" spans="1:4" ht="15" thickBot="1"/>
    <row r="129" spans="1:4" ht="23" thickBot="1">
      <c r="A129" s="749" t="str">
        <f>VLOOKUP("不只是故事", Data!$B:$D,F1, FALSE)</f>
        <v>不止是故事</v>
      </c>
      <c r="B129" s="750"/>
      <c r="C129" s="750"/>
      <c r="D129" s="751"/>
    </row>
    <row r="130" spans="1:4">
      <c r="A130" s="292" t="s">
        <v>3472</v>
      </c>
      <c r="B130" s="284" t="s">
        <v>3473</v>
      </c>
      <c r="C130" s="277" t="s">
        <v>3474</v>
      </c>
      <c r="D130" s="293" t="s">
        <v>3475</v>
      </c>
    </row>
    <row r="131" spans="1:4">
      <c r="A131" s="294" t="str">
        <f>VLOOKUP("與凱恩共度的日子", Data!$B:$D,F1, FALSE)</f>
        <v>与凯恩共度的日子</v>
      </c>
      <c r="B131" s="821" t="s">
        <v>2676</v>
      </c>
      <c r="C131" s="281" t="str">
        <f>VLOOKUP("破碎的王冠", Data!$B:$D,F1, FALSE)&amp;"（1-3-1）"</f>
        <v>破损的王冠（1-3-1）</v>
      </c>
      <c r="D131" s="82" t="s">
        <v>3545</v>
      </c>
    </row>
    <row r="132" spans="1:4">
      <c r="A132" s="294" t="str">
        <f>VLOOKUP("崔斯特姆", Data!$B:$D,F1, FALSE)</f>
        <v>崔斯特姆</v>
      </c>
      <c r="B132" s="821"/>
      <c r="C132" s="281" t="str">
        <f>VLOOKUP("凱恩生死之謎", Data!$B:$D,F1, FALSE)&amp;"（1-2-1）"</f>
        <v>凯恩的遗踪（1-2-1）</v>
      </c>
      <c r="D132" s="82" t="s">
        <v>3547</v>
      </c>
    </row>
    <row r="133" spans="1:4">
      <c r="A133" s="294" t="str">
        <f>VLOOKUP("愛德莉雅", Data!$B:$D,F1, FALSE)</f>
        <v>艾德莉亚</v>
      </c>
      <c r="B133" s="821"/>
      <c r="C133" s="281" t="str">
        <f>VLOOKUP("破碎的王冠", Data!$B:$D,F1, FALSE)&amp;"（1-3-1）"</f>
        <v>破损的王冠（1-3-1）</v>
      </c>
      <c r="D133" s="82" t="s">
        <v>3545</v>
      </c>
    </row>
    <row r="134" spans="1:4">
      <c r="A134" s="294" t="str">
        <f>VLOOKUP("莉亞的童年", Data!$B:$D,F1, FALSE)</f>
        <v>莉娅的出生</v>
      </c>
      <c r="B134" s="821"/>
      <c r="C134" s="281" t="str">
        <f>VLOOKUP("隕星", Data!$B:$D,F1, FALSE)&amp;"（1-1-2）"</f>
        <v>陨星（1-1-2）</v>
      </c>
      <c r="D134" s="82" t="s">
        <v>3566</v>
      </c>
    </row>
    <row r="135" spans="1:4">
      <c r="A135" s="294" t="str">
        <f>VLOOKUP("愛德莉雅之死", Data!$B:$D,F1, FALSE)</f>
        <v>艾德莉亚之死</v>
      </c>
      <c r="B135" s="821"/>
      <c r="C135" s="281" t="str">
        <f>VLOOKUP("凱恩生死之謎", Data!$B:$D,F1, FALSE)&amp;"（1-2-1）"</f>
        <v>凯恩的遗踪（1-2-1）</v>
      </c>
      <c r="D135" s="82" t="s">
        <v>3548</v>
      </c>
    </row>
    <row r="136" spans="1:4">
      <c r="A136" s="294" t="str">
        <f>VLOOKUP("關於沉沒神殿", Data!$B:$D,F1, FALSE)</f>
        <v>关于神庙</v>
      </c>
      <c r="B136" s="821"/>
      <c r="C136" s="281" t="str">
        <f>VLOOKUP("破碎的異世之劍", Data!$B:$D,F1, FALSE)&amp;"（1-6-2）"</f>
        <v>破损的剑刃（1-6-2）</v>
      </c>
      <c r="D136" s="82" t="s">
        <v>3549</v>
      </c>
    </row>
    <row r="137" spans="1:4">
      <c r="A137" s="294" t="str">
        <f>VLOOKUP("莉亞的力量", Data!$B:$D,F1, FALSE)</f>
        <v>莉娅的魔力</v>
      </c>
      <c r="B137" s="821"/>
      <c r="C137" s="281" t="str">
        <f>VLOOKUP("追尋真神教", Data!$B:$D,F1, FALSE)&amp;"（1-8-1）"</f>
        <v>追踪巫师会（1-8-1）</v>
      </c>
      <c r="D137" s="82" t="s">
        <v>3550</v>
      </c>
    </row>
    <row r="138" spans="1:4">
      <c r="A138" s="295" t="str">
        <f>VLOOKUP("關於愛德莉雅", Data!$B:$D,F1, FALSE)</f>
        <v>关于艾德莉亚</v>
      </c>
      <c r="B138" s="822" t="s">
        <v>2684</v>
      </c>
      <c r="C138" s="149" t="str">
        <f>VLOOKUP("黑靈魂石", Data!$B:$D,F1, FALSE)&amp;"（2-8-1）"</f>
        <v>黑暗灵魂石（2-8-1）</v>
      </c>
      <c r="D138" s="846" t="s">
        <v>3528</v>
      </c>
    </row>
    <row r="139" spans="1:4">
      <c r="A139" s="295" t="str">
        <f>VLOOKUP("緬懷凱恩", Data!$B:$D,F1, FALSE)</f>
        <v>怀念迪卡德</v>
      </c>
      <c r="B139" s="822"/>
      <c r="C139" s="149" t="str">
        <f>VLOOKUP("血染黃沙", Data!$B:$D,F1, FALSE)&amp;"（2-7-1）"</f>
        <v>血染黄沙（2-7-1）</v>
      </c>
      <c r="D139" s="846"/>
    </row>
    <row r="140" spans="1:4">
      <c r="A140" s="295" t="str">
        <f>VLOOKUP("關於佐頓庫勒", Data!$B:$D,F1, FALSE)</f>
        <v>关于佐敦·库勒</v>
      </c>
      <c r="B140" s="822"/>
      <c r="C140" s="149" t="str">
        <f>VLOOKUP("赫拉迪姆的背叛者", Data!$B:$D,F1, FALSE)&amp;"（2-6-1）"</f>
        <v>赫拉迪姆背叛者（2-6-1）</v>
      </c>
      <c r="D140" s="97" t="s">
        <v>3551</v>
      </c>
    </row>
    <row r="141" spans="1:4">
      <c r="A141" s="295" t="str">
        <f>VLOOKUP("秘庫", Data!$B:$D,F1, FALSE)</f>
        <v>佐敦·库勒之馆</v>
      </c>
      <c r="B141" s="822"/>
      <c r="C141" s="149" t="str">
        <f>VLOOKUP("黑靈魂石", Data!$B:$D,F1, FALSE)&amp;"（2-8-2）"</f>
        <v>黑暗灵魂石（2-8-2）</v>
      </c>
      <c r="D141" s="97" t="s">
        <v>3567</v>
      </c>
    </row>
    <row r="142" spans="1:4">
      <c r="A142" s="296" t="str">
        <f>VLOOKUP("擔憂", Data!$B:$D,F1, FALSE)</f>
        <v>关怀</v>
      </c>
      <c r="B142" s="823" t="s">
        <v>2694</v>
      </c>
      <c r="C142" s="280" t="str">
        <f>VLOOKUP("戍衛要塞圍困", Data!$B:$D,F1, FALSE)&amp;"（3-1-1）"</f>
        <v>要塞围攻（3-1-1）</v>
      </c>
      <c r="D142" s="218" t="s">
        <v>3552</v>
      </c>
    </row>
    <row r="143" spans="1:4">
      <c r="A143" s="296" t="str">
        <f>VLOOKUP("希望", Data!$B:$D,F1, FALSE)</f>
        <v>希望</v>
      </c>
      <c r="B143" s="823"/>
      <c r="C143" s="280" t="str">
        <f>VLOOKUP("扭轉戰況", Data!$B:$D,F1, FALSE)&amp;"（3-2-1）"</f>
        <v>力挽狂澜（3-2-1）</v>
      </c>
      <c r="D143" s="218" t="s">
        <v>3552</v>
      </c>
    </row>
    <row r="144" spans="1:4" ht="15" thickBot="1">
      <c r="A144" s="307" t="str">
        <f>VLOOKUP("夢想", Data!$B:$D,F1, FALSE)</f>
        <v>梦想</v>
      </c>
      <c r="B144" s="847"/>
      <c r="C144" s="308" t="str">
        <f>VLOOKUP("扭轉戰況", Data!$B:$D,F1, FALSE)&amp;"（3-2-1）"</f>
        <v>力挽狂澜（3-2-1）</v>
      </c>
      <c r="D144" s="222" t="str">
        <f>"听完“"&amp;VLOOKUP("希望", Data!$B:$D,F1, FALSE)&amp;"”后激活，击杀冈姆前对话"</f>
        <v>听完“希望”后激活，击杀冈姆前对话</v>
      </c>
    </row>
    <row r="145" spans="1:4" ht="15" thickBot="1"/>
    <row r="146" spans="1:4" ht="23" thickBot="1">
      <c r="A146" s="749" t="str">
        <f>VLOOKUP("只能靠我們了", Data!$B:$D,F1, FALSE)</f>
        <v>只能靠我们了</v>
      </c>
      <c r="B146" s="750"/>
      <c r="C146" s="750"/>
      <c r="D146" s="750"/>
    </row>
    <row r="147" spans="1:4">
      <c r="A147" s="277" t="s">
        <v>3472</v>
      </c>
      <c r="B147" s="284" t="s">
        <v>3473</v>
      </c>
      <c r="C147" s="277" t="s">
        <v>3918</v>
      </c>
      <c r="D147" s="277" t="s">
        <v>3475</v>
      </c>
    </row>
    <row r="148" spans="1:4">
      <c r="A148" s="281" t="str">
        <f>VLOOKUP("失去的記憶", Data!$B:$D,F1, FALSE)</f>
        <v>消失的记忆</v>
      </c>
      <c r="B148" s="821" t="s">
        <v>2676</v>
      </c>
      <c r="C148" s="281" t="str">
        <f>VLOOKUP("異世之劍", Data!$B:$D,F1, FALSE)&amp;"（1-5-1）"</f>
        <v>奇异之人的剑（1-5-1）</v>
      </c>
      <c r="D148" s="281" t="s">
        <v>3553</v>
      </c>
    </row>
    <row r="149" spans="1:4">
      <c r="A149" s="281" t="str">
        <f>VLOOKUP("破碎之劍", Data!$B:$D,F1, FALSE)</f>
        <v>剑</v>
      </c>
      <c r="B149" s="821"/>
      <c r="C149" s="281" t="str">
        <f>VLOOKUP("破碎的異世之劍", Data!$B:$D,F1, FALSE)&amp;"（1-6-1）"</f>
        <v>破损的剑刃（1-6-1）</v>
      </c>
      <c r="D149" s="281" t="s">
        <v>3520</v>
      </c>
    </row>
    <row r="150" spans="1:4">
      <c r="A150" s="281" t="str">
        <f>VLOOKUP("神秘的教團", Data!$B:$D,F1, FALSE)</f>
        <v>神秘的巫师会</v>
      </c>
      <c r="B150" s="821"/>
      <c r="C150" s="281" t="str">
        <f>VLOOKUP("沃薩姆的浩劫", Data!$B:$D,F1, FALSE)&amp;"（1-7-1）"</f>
        <v>沃桑的劫数（1-7-1）</v>
      </c>
      <c r="D150" s="281" t="s">
        <v>3554</v>
      </c>
    </row>
    <row r="151" spans="1:4">
      <c r="A151" s="281" t="str">
        <f>VLOOKUP("地獄之王", Data!$B:$D,F1, FALSE)</f>
        <v>地狱魔王</v>
      </c>
      <c r="B151" s="821"/>
      <c r="C151" s="281" t="str">
        <f>VLOOKUP("返回新崔斯特姆", Data!$B:$D,F1, FALSE)&amp;"（1-10-1）"</f>
        <v>返回新崔斯特姆（1-10-1）</v>
      </c>
      <c r="D151" s="281" t="s">
        <v>3555</v>
      </c>
    </row>
    <row r="152" spans="1:4">
      <c r="A152" s="149" t="str">
        <f>VLOOKUP("關於卡爾蒂姆", Data!$B:$D,F1, FALSE)</f>
        <v>关于卡尔蒂姆</v>
      </c>
      <c r="B152" s="822" t="s">
        <v>2684</v>
      </c>
      <c r="C152" s="149" t="str">
        <f>VLOOKUP("皇室覲見", Data!$B:$D,F1, FALSE)&amp;"（2-4-1）"</f>
        <v>皇室觐见（2-4-1）</v>
      </c>
      <c r="D152" s="840" t="s">
        <v>3514</v>
      </c>
    </row>
    <row r="153" spans="1:4">
      <c r="A153" s="149" t="str">
        <f>VLOOKUP("謊言之王", Data!$B:$D,F1, FALSE)</f>
        <v>谎言之王</v>
      </c>
      <c r="B153" s="822"/>
      <c r="C153" s="149" t="str">
        <f>VLOOKUP("血染黃沙", Data!$B:$D,F1, FALSE)&amp;"（2-7-1）"</f>
        <v>血染黄沙（2-7-1）</v>
      </c>
      <c r="D153" s="840"/>
    </row>
    <row r="154" spans="1:4">
      <c r="A154" s="149" t="str">
        <f>VLOOKUP("卡爾蒂姆的難民", Data!$B:$D,F1, FALSE)</f>
        <v>卡尔蒂姆难民</v>
      </c>
      <c r="B154" s="822"/>
      <c r="C154" s="840" t="str">
        <f>VLOOKUP("皇室覲見", Data!$B:$D,F1, FALSE)&amp;"（2-4-1）"</f>
        <v>皇室觐见（2-4-1）</v>
      </c>
      <c r="D154" s="840"/>
    </row>
    <row r="155" spans="1:4">
      <c r="A155" s="149" t="str">
        <f>VLOOKUP("你的隕落", Data!$B:$D,F1, FALSE)</f>
        <v>关于坠落</v>
      </c>
      <c r="B155" s="822"/>
      <c r="C155" s="840"/>
      <c r="D155" s="840"/>
    </row>
    <row r="156" spans="1:4">
      <c r="A156" s="149" t="str">
        <f>VLOOKUP("亞瑞特山的毀滅", Data!$B:$D,F1, FALSE)</f>
        <v>亚瑞特山的毁灭</v>
      </c>
      <c r="B156" s="822"/>
      <c r="C156" s="840" t="str">
        <f>VLOOKUP("意外的盟友", Data!$B:$D,F1, FALSE)&amp;"（2-5-1）"</f>
        <v>命运之交（2-5-1）</v>
      </c>
      <c r="D156" s="840"/>
    </row>
    <row r="157" spans="1:4">
      <c r="A157" s="149" t="str">
        <f>VLOOKUP("過去的二十年", Data!$B:$D,F1, FALSE)</f>
        <v>过去的二十年</v>
      </c>
      <c r="B157" s="822"/>
      <c r="C157" s="840"/>
      <c r="D157" s="149" t="str">
        <f>"听完“"&amp;VLOOKUP("亞瑞特山的毀滅", Data!$B:$D,F1, FALSE)&amp;"”后激活，第二章结束之前对话"</f>
        <v>听完“亚瑞特山的毁灭”后激活，第二章结束之前对话</v>
      </c>
    </row>
    <row r="158" spans="1:4">
      <c r="A158" s="149" t="str">
        <f>VLOOKUP("腐化", Data!$B:$D,F1, FALSE)</f>
        <v>堕落</v>
      </c>
      <c r="B158" s="822"/>
      <c r="C158" s="149" t="str">
        <f>VLOOKUP("皇室覲見", Data!$B:$D,F1, FALSE)&amp;"（2-4-1）"</f>
        <v>皇室觐见（2-4-1）</v>
      </c>
      <c r="D158" s="149" t="s">
        <v>3514</v>
      </c>
    </row>
    <row r="159" spans="1:4">
      <c r="A159" s="149" t="str">
        <f>VLOOKUP("佐敦庫勒之死", Data!$B:$D,F1, FALSE)</f>
        <v>佐敦·库勒之死</v>
      </c>
      <c r="B159" s="822"/>
      <c r="C159" s="149" t="str">
        <f>VLOOKUP("赫拉迪姆的背叛者", Data!$B:$D,F1, FALSE)&amp;"（2-6-1）"</f>
        <v>赫拉迪姆背叛者（2-6-1）</v>
      </c>
      <c r="D159" s="149" t="s">
        <v>3556</v>
      </c>
    </row>
    <row r="160" spans="1:4">
      <c r="A160" s="280" t="str">
        <f>VLOOKUP("庫勒的黑靈魂石", Data!$B:$D,F1, FALSE)</f>
        <v>库勒的黑灵魂石</v>
      </c>
      <c r="B160" s="823" t="s">
        <v>2694</v>
      </c>
      <c r="C160" s="852" t="str">
        <f>VLOOKUP("戍衛要塞圍困", Data!$B:$D,F1, FALSE)&amp;"（3-1-1）"</f>
        <v>要塞围攻（3-1-1）</v>
      </c>
      <c r="D160" s="280" t="s">
        <v>3557</v>
      </c>
    </row>
    <row r="161" spans="1:4">
      <c r="A161" s="280" t="str">
        <f>VLOOKUP("有瑕疵的靈魂石", Data!$B:$D,F1, FALSE)</f>
        <v>灵魂石的瑕疵</v>
      </c>
      <c r="B161" s="823"/>
      <c r="C161" s="852"/>
      <c r="D161" s="280" t="str">
        <f>"听完“"&amp;VLOOKUP("庫勒的黑靈魂石", Data!$B:$D,F1, FALSE)&amp;"”后激活，击杀阿兹莫丹之前对话"</f>
        <v>听完“库勒的黑灵魂石”后激活，击杀阿兹莫丹之前对话</v>
      </c>
    </row>
    <row r="162" spans="1:4">
      <c r="A162" s="280" t="str">
        <f>VLOOKUP("人類的知識", Data!$B:$D,F1, FALSE)</f>
        <v>人类知识</v>
      </c>
      <c r="B162" s="823"/>
      <c r="C162" s="852"/>
      <c r="D162" s="280" t="s">
        <v>3558</v>
      </c>
    </row>
    <row r="163" spans="1:4">
      <c r="A163" s="280" t="str">
        <f>VLOOKUP("逝去的機會", Data!$B:$D,F1, FALSE)</f>
        <v>错失良机</v>
      </c>
      <c r="B163" s="823"/>
      <c r="C163" s="852"/>
      <c r="D163" s="280" t="s">
        <v>3568</v>
      </c>
    </row>
    <row r="164" spans="1:4">
      <c r="A164" s="280" t="str">
        <f>VLOOKUP("改變", Data!$B:$D,F1, FALSE)</f>
        <v>内疚</v>
      </c>
      <c r="B164" s="823"/>
      <c r="C164" s="852"/>
      <c r="D164" s="280" t="str">
        <f>"听完“"&amp;VLOOKUP("逝去的機會", Data!$B:$D,F1, FALSE)&amp;"”后激活，点完5处烽火之前对话"</f>
        <v>听完“错失良机”后激活，点完5处烽火之前对话</v>
      </c>
    </row>
    <row r="165" spans="1:4">
      <c r="A165" s="280" t="str">
        <f>VLOOKUP("熱血沸騰", Data!$B:$D,F1, FALSE)</f>
        <v>斗志</v>
      </c>
      <c r="B165" s="823"/>
      <c r="C165" s="280" t="str">
        <f>VLOOKUP("扭轉戰況", Data!$B:$D,F1, FALSE)&amp;"（3-2-1）"</f>
        <v>力挽狂澜（3-2-1）</v>
      </c>
      <c r="D165" s="280" t="s">
        <v>3559</v>
      </c>
    </row>
    <row r="166" spans="1:4">
      <c r="A166" s="280" t="str">
        <f>VLOOKUP("運籌帷幄", Data!$B:$D,F1, FALSE)</f>
        <v>指挥官泰瑞尔</v>
      </c>
      <c r="B166" s="823"/>
      <c r="C166" s="280" t="str">
        <f>VLOOKUP("要塞缺口", Data!$B:$D,F1, FALSE)&amp;"（3-3-1）"</f>
        <v>被攻破的要塞（3-3-1）</v>
      </c>
      <c r="D166" s="280" t="s">
        <v>3560</v>
      </c>
    </row>
    <row r="167" spans="1:4">
      <c r="A167" s="280" t="str">
        <f>VLOOKUP("永恆之戰", Data!$B:$D,F1, FALSE)</f>
        <v>永恒之战</v>
      </c>
      <c r="B167" s="823"/>
      <c r="C167" s="852" t="str">
        <f>VLOOKUP("攻城器械", Data!$B:$D,F1, FALSE)&amp;"（3-5-1）"</f>
        <v>战争机器（3-5-1）</v>
      </c>
      <c r="D167" s="280" t="s">
        <v>3561</v>
      </c>
    </row>
    <row r="168" spans="1:4">
      <c r="A168" s="280" t="str">
        <f>VLOOKUP("創世起源", Data!$B:$D,F1, FALSE)</f>
        <v>庇护之地的起源</v>
      </c>
      <c r="B168" s="823"/>
      <c r="C168" s="852"/>
      <c r="D168" s="280" t="str">
        <f>"听完“"&amp;VLOOKUP("永恆之戰", Data!$B:$D,F1, FALSE)&amp;"”后激活，击杀阿兹莫丹之前对话"</f>
        <v>听完“永恒之战”后激活，击杀阿兹莫丹之前对话</v>
      </c>
    </row>
    <row r="169" spans="1:4">
      <c r="A169" s="282" t="str">
        <f>VLOOKUP("天堂的隕落", Data!$B:$D,F1, FALSE)</f>
        <v>天堂沦陷</v>
      </c>
      <c r="B169" s="824" t="s">
        <v>3492</v>
      </c>
      <c r="C169" s="853" t="str">
        <f>VLOOKUP("至高天的隕落", Data!$B:$D,F1, FALSE)&amp;"（4-1-1）"</f>
        <v>高阶天堂的陨落（4-1-1）</v>
      </c>
      <c r="D169" s="838" t="s">
        <v>3562</v>
      </c>
    </row>
    <row r="170" spans="1:4">
      <c r="A170" s="282" t="str">
        <f>VLOOKUP("愛德莉雅的背叛", Data!$B:$D,F1, FALSE)</f>
        <v>艾德莉亚的背叛</v>
      </c>
      <c r="B170" s="824"/>
      <c r="C170" s="853"/>
      <c r="D170" s="848"/>
    </row>
    <row r="171" spans="1:4">
      <c r="A171" s="282" t="str">
        <f>VLOOKUP("黑暗流浪者", Data!$B:$D,F1, FALSE)</f>
        <v>黑暗流浪者</v>
      </c>
      <c r="B171" s="824"/>
      <c r="C171" s="853"/>
      <c r="D171" s="839"/>
    </row>
    <row r="172" spans="1:4">
      <c r="A172" s="282" t="str">
        <f>VLOOKUP("至高天", Data!$B:$D,F1, FALSE)</f>
        <v>高阶天堂</v>
      </c>
      <c r="B172" s="824"/>
      <c r="C172" s="853" t="str">
        <f>VLOOKUP("萬惡之源", Data!$B:$D,F1, FALSE)&amp;"（4-4-2）"</f>
        <v>大魔神（4-4-2）</v>
      </c>
      <c r="D172" s="838" t="s">
        <v>3563</v>
      </c>
    </row>
    <row r="173" spans="1:4">
      <c r="A173" s="282" t="str">
        <f>VLOOKUP("莉亞的靈魂", Data!$B:$D,F1, FALSE)</f>
        <v>莉娅的灵魂</v>
      </c>
      <c r="B173" s="824"/>
      <c r="C173" s="853"/>
      <c r="D173" s="848"/>
    </row>
    <row r="174" spans="1:4">
      <c r="A174" s="282" t="str">
        <f>VLOOKUP("瑪瑟爾", Data!$B:$D,F1, FALSE)</f>
        <v>马萨伊尔</v>
      </c>
      <c r="B174" s="824"/>
      <c r="C174" s="853"/>
      <c r="D174" s="848"/>
    </row>
    <row r="175" spans="1:4">
      <c r="A175" s="282" t="str">
        <f>VLOOKUP("瑪瑟爾的際遇", Data!$B:$D,F1, FALSE)</f>
        <v>马萨伊尔的命运</v>
      </c>
      <c r="B175" s="824"/>
      <c r="C175" s="853"/>
      <c r="D175" s="848"/>
    </row>
    <row r="176" spans="1:4">
      <c r="A176" s="282" t="str">
        <f>VLOOKUP("萬惡之源", Data!$B:$D,F1, FALSE)</f>
        <v>大魔神</v>
      </c>
      <c r="B176" s="824"/>
      <c r="C176" s="853"/>
      <c r="D176" s="839"/>
    </row>
    <row r="177" spans="1:4" ht="15" thickBot="1"/>
    <row r="178" spans="1:4" ht="23" thickBot="1">
      <c r="A178" s="749" t="str">
        <f>VLOOKUP("巫迷心竅", Data!$B:$D,F1, FALSE)</f>
        <v>巫言碎语</v>
      </c>
      <c r="B178" s="750"/>
      <c r="C178" s="750"/>
      <c r="D178" s="751"/>
    </row>
    <row r="179" spans="1:4">
      <c r="A179" s="292" t="s">
        <v>3472</v>
      </c>
      <c r="B179" s="284" t="s">
        <v>3473</v>
      </c>
      <c r="C179" s="277" t="s">
        <v>3474</v>
      </c>
      <c r="D179" s="293" t="s">
        <v>3475</v>
      </c>
    </row>
    <row r="180" spans="1:4">
      <c r="A180" s="295" t="str">
        <f>VLOOKUP("勝利的代價", Data!$B:$D,F1, FALSE)</f>
        <v>胜利的代价</v>
      </c>
      <c r="B180" s="828" t="s">
        <v>2684</v>
      </c>
      <c r="C180" s="149" t="str">
        <f>VLOOKUP("肅清卡爾蒂姆", Data!$B:$D,F1, FALSE)&amp;"（2-9-1）"</f>
        <v>净化卡尔蒂姆（2-9-1）</v>
      </c>
      <c r="D180" s="97" t="s">
        <v>3528</v>
      </c>
    </row>
    <row r="181" spans="1:4">
      <c r="A181" s="295" t="str">
        <f>VLOOKUP("瘋狂的巫師", Data!$B:$D,F1, FALSE)</f>
        <v>疯狂的魔法师</v>
      </c>
      <c r="B181" s="829"/>
      <c r="C181" s="840" t="str">
        <f>VLOOKUP("赫拉迪姆的背叛者", Data!$B:$D,F1, FALSE)&amp;"（2-6-1）"</f>
        <v>赫拉迪姆背叛者（2-6-1）</v>
      </c>
      <c r="D181" s="97" t="s">
        <v>3564</v>
      </c>
    </row>
    <row r="182" spans="1:4" ht="16.5" customHeight="1">
      <c r="A182" s="295" t="str">
        <f>VLOOKUP("泰瑞爾的警告", Data!$B:$D,F1, FALSE)</f>
        <v>泰瑞尔的警告</v>
      </c>
      <c r="B182" s="829"/>
      <c r="C182" s="840"/>
      <c r="D182" s="97" t="str">
        <f>"听完“"&amp;VLOOKUP("瘋狂的巫師", Data!$B:$D,F1, FALSE)&amp;"”后激活，击杀佐敦库勒之前对话"</f>
        <v>听完“疯狂的魔法师”后激活，击杀佐敦库勒之前对话</v>
      </c>
    </row>
    <row r="183" spans="1:4">
      <c r="A183" s="295" t="str">
        <f>VLOOKUP("莉亞的童年", Data!$B:$D,F1, FALSE)</f>
        <v>莉娅的出生</v>
      </c>
      <c r="B183" s="829"/>
      <c r="C183" s="840"/>
      <c r="D183" s="846" t="s">
        <v>3528</v>
      </c>
    </row>
    <row r="184" spans="1:4">
      <c r="A184" s="295" t="str">
        <f>VLOOKUP("愛德莉雅與凱恩", Data!$B:$D,F1, FALSE)</f>
        <v>艾德莉亚与凯恩</v>
      </c>
      <c r="B184" s="829"/>
      <c r="C184" s="840"/>
      <c r="D184" s="846"/>
    </row>
    <row r="185" spans="1:4">
      <c r="A185" s="295" t="str">
        <f>VLOOKUP("使命", Data!$B:$D,F1, FALSE)</f>
        <v>动机</v>
      </c>
      <c r="B185" s="829"/>
      <c r="C185" s="149" t="str">
        <f>VLOOKUP("血染黃沙", Data!$B:$D,F1, FALSE)&amp;"（2-7-1）"</f>
        <v>血染黄沙（2-7-1）</v>
      </c>
      <c r="D185" s="846"/>
    </row>
    <row r="186" spans="1:4">
      <c r="A186" s="295" t="str">
        <f>VLOOKUP("愛德莉雅受擒", Data!$B:$D,F1, FALSE)</f>
        <v>艾德莉亚被捕</v>
      </c>
      <c r="B186" s="829"/>
      <c r="C186" s="149" t="str">
        <f>VLOOKUP("赫拉迪姆的背叛者", Data!$B:$D,F1, FALSE)&amp;"（2-6-1）"</f>
        <v>赫拉迪姆背叛者（2-6-1）</v>
      </c>
      <c r="D186" s="97" t="s">
        <v>3546</v>
      </c>
    </row>
    <row r="187" spans="1:4">
      <c r="A187" s="295" t="str">
        <f>VLOOKUP("彼列與靈魂石", Data!$B:$D,F1, FALSE)</f>
        <v>彼列与灵魂石</v>
      </c>
      <c r="B187" s="829"/>
      <c r="C187" s="149" t="str">
        <f>VLOOKUP("血染黃沙", Data!$B:$D,F1, FALSE)&amp;"（2-7-1）"</f>
        <v>血染黄沙（2-7-1）</v>
      </c>
      <c r="D187" s="97" t="s">
        <v>3527</v>
      </c>
    </row>
    <row r="188" spans="1:4">
      <c r="A188" s="295" t="str">
        <f>VLOOKUP("愛德莉雅的任務", Data!$B:$D,F1, FALSE)</f>
        <v>艾德莉亚的任务</v>
      </c>
      <c r="B188" s="829"/>
      <c r="C188" s="840" t="str">
        <f>VLOOKUP("肅清卡爾蒂姆", Data!$B:$D,F1, FALSE)&amp;"（2-9-1）"</f>
        <v>净化卡尔蒂姆（2-9-1）</v>
      </c>
      <c r="D188" s="846" t="s">
        <v>3528</v>
      </c>
    </row>
    <row r="189" spans="1:4">
      <c r="A189" s="295" t="str">
        <f>VLOOKUP("封印彼列", Data!$B:$D,F1, FALSE)</f>
        <v>诱捕彼列</v>
      </c>
      <c r="B189" s="829"/>
      <c r="C189" s="840"/>
      <c r="D189" s="846"/>
    </row>
    <row r="190" spans="1:4">
      <c r="A190" s="295" t="str">
        <f>VLOOKUP("魔法", Data!$B:$D,F1, FALSE)</f>
        <v>魔法</v>
      </c>
      <c r="B190" s="829"/>
      <c r="C190" s="149" t="str">
        <f>VLOOKUP("黑靈魂石", Data!$B:$D,F1, FALSE)&amp;"（2-8-1）"</f>
        <v>黑暗灵魂石（2-8-1）</v>
      </c>
      <c r="D190" s="846"/>
    </row>
    <row r="191" spans="1:4">
      <c r="A191" s="295" t="str">
        <f>VLOOKUP("你的女兒", Data!$B:$D,F1, FALSE)</f>
        <v>你的女儿</v>
      </c>
      <c r="B191" s="830"/>
      <c r="C191" s="149" t="str">
        <f>VLOOKUP("血染黃沙", Data!$B:$D,F1, FALSE)&amp;"（2-7-1）"</f>
        <v>血染黄沙（2-7-1）</v>
      </c>
      <c r="D191" s="846"/>
    </row>
    <row r="192" spans="1:4">
      <c r="A192" s="296" t="str">
        <f>VLOOKUP("阿茲莫丹", Data!$B:$D,F1, FALSE)</f>
        <v>阿兹莫丹</v>
      </c>
      <c r="B192" s="833" t="s">
        <v>2694</v>
      </c>
      <c r="C192" s="280" t="str">
        <f>VLOOKUP("戍衛要塞圍困", Data!$B:$D,F1, FALSE)&amp;"（3-1-1）"</f>
        <v>要塞围攻（3-1-1）</v>
      </c>
      <c r="D192" s="218" t="s">
        <v>3565</v>
      </c>
    </row>
    <row r="193" spans="1:4">
      <c r="A193" s="296" t="str">
        <f>VLOOKUP("受難（受苦）", Data!$B:$D,F1, FALSE)</f>
        <v>受苦</v>
      </c>
      <c r="B193" s="841"/>
      <c r="C193" s="280" t="str">
        <f>VLOOKUP("扭轉戰況", Data!$B:$D,F1, FALSE)&amp;"（3-2-1）"</f>
        <v>力挽狂澜（3-2-1）</v>
      </c>
      <c r="D193" s="218" t="s">
        <v>3552</v>
      </c>
    </row>
    <row r="194" spans="1:4" ht="15" thickBot="1">
      <c r="A194" s="307" t="str">
        <f>VLOOKUP("戰爭結束後", Data!$B:$D,F1, FALSE)</f>
        <v>战争的终结</v>
      </c>
      <c r="B194" s="854"/>
      <c r="C194" s="308" t="str">
        <f>VLOOKUP("攻城器械", Data!$B:$D,F1, FALSE)&amp;"（3-5-1）"</f>
        <v>战争机器（3-5-1）</v>
      </c>
      <c r="D194" s="222" t="s">
        <v>3530</v>
      </c>
    </row>
    <row r="195" spans="1:4" ht="15" thickBot="1"/>
    <row r="196" spans="1:4" ht="23" thickBot="1">
      <c r="A196" s="749" t="str">
        <f>VLOOKUP("智慧雋語", Data!$B:$D,F1, FALSE)</f>
        <v>智慧之言</v>
      </c>
      <c r="B196" s="750"/>
      <c r="C196" s="750"/>
      <c r="D196" s="751"/>
    </row>
    <row r="197" spans="1:4">
      <c r="A197" s="292" t="s">
        <v>3472</v>
      </c>
      <c r="B197" s="284" t="s">
        <v>3473</v>
      </c>
      <c r="C197" s="277" t="s">
        <v>3474</v>
      </c>
      <c r="D197" s="293" t="s">
        <v>3475</v>
      </c>
    </row>
    <row r="198" spans="1:4">
      <c r="A198" s="312" t="str">
        <f>VLOOKUP("瑪瑟爾", Data!$B:$D,F1, FALSE)</f>
        <v>马萨伊尔</v>
      </c>
      <c r="B198" s="855" t="s">
        <v>3586</v>
      </c>
      <c r="C198" s="283" t="str">
        <f>VLOOKUP("亡者之魂", Data!$B:$D,F1, FALSE)&amp;"（5-2-1）"</f>
        <v>亡者之魂（5-2-1）</v>
      </c>
      <c r="D198" s="858" t="s">
        <v>3599</v>
      </c>
    </row>
    <row r="199" spans="1:4">
      <c r="A199" s="312" t="str">
        <f>VLOOKUP("天使", Data!$B:$D,F1, FALSE)</f>
        <v>天使</v>
      </c>
      <c r="B199" s="856"/>
      <c r="C199" s="283" t="str">
        <f>VLOOKUP("女巫", Data!$B:$D,F1, FALSE)&amp;"（5-4-2）"</f>
        <v>女巫（5-4-2）</v>
      </c>
      <c r="D199" s="859"/>
    </row>
    <row r="200" spans="1:4">
      <c r="A200" s="312" t="str">
        <f>VLOOKUP("瑪瑟爾的奪魂者", Data!$B:$D,F1, FALSE)</f>
        <v>马萨伊尔的夺魂者</v>
      </c>
      <c r="B200" s="856"/>
      <c r="C200" s="283" t="str">
        <f>VLOOKUP("亡者之魂", Data!$B:$D,F1, FALSE)&amp;"（5-2-1）"</f>
        <v>亡者之魂（5-2-1）</v>
      </c>
      <c r="D200" s="309" t="s">
        <v>3591</v>
      </c>
    </row>
    <row r="201" spans="1:4">
      <c r="A201" s="312" t="str">
        <f>VLOOKUP("手下留情", Data!$B:$D,F1, FALSE)</f>
        <v>马萨伊尔的仁慈</v>
      </c>
      <c r="B201" s="856"/>
      <c r="C201" s="283" t="str">
        <f>VLOOKUP("死亡使者", Data!$B:$D,F1, FALSE)&amp;"（5-3-2）"</f>
        <v>死亡使者（5-3-2）</v>
      </c>
      <c r="D201" s="309" t="str">
        <f>"听完“"&amp;VLOOKUP("瑪瑟爾", Data!$B:$D,F1, FALSE)&amp;"”后激活"</f>
        <v>听完“马萨伊尔”后激活</v>
      </c>
    </row>
    <row r="202" spans="1:4">
      <c r="A202" s="312" t="str">
        <f>VLOOKUP("泰瑞爾的心情", Data!$B:$D,F1, FALSE)</f>
        <v>泰瑞尔的心情</v>
      </c>
      <c r="B202" s="856"/>
      <c r="C202" s="283" t="str">
        <f>VLOOKUP("女巫", Data!$B:$D,F1, FALSE)&amp;"（5-4-1）"</f>
        <v>女巫（5-4-1）</v>
      </c>
      <c r="D202" s="858" t="s">
        <v>3599</v>
      </c>
    </row>
    <row r="203" spans="1:4">
      <c r="A203" s="312" t="str">
        <f>VLOOKUP("泰瑞爾的痛楚", Data!$B:$D,F1, FALSE)</f>
        <v>泰瑞尔的痛苦</v>
      </c>
      <c r="B203" s="856"/>
      <c r="C203" s="283" t="str">
        <f>VLOOKUP("死亡使者", Data!$B:$D,F1, FALSE)&amp;"（5-3-2）"</f>
        <v>死亡使者（5-3-2）</v>
      </c>
      <c r="D203" s="860"/>
    </row>
    <row r="204" spans="1:4">
      <c r="A204" s="312" t="str">
        <f>VLOOKUP("靈魂石碎片", Data!$B:$D,F1, FALSE)</f>
        <v>灵魂石碎片</v>
      </c>
      <c r="B204" s="856"/>
      <c r="C204" s="283" t="str">
        <f>VLOOKUP("亡者之魂", Data!$B:$D,F1, FALSE)&amp;"（5-2-3）"</f>
        <v>亡者之魂（5-2-3）</v>
      </c>
      <c r="D204" s="860"/>
    </row>
    <row r="205" spans="1:4">
      <c r="A205" s="312" t="str">
        <f>VLOOKUP("碎片", Data!$B:$D,F1, FALSE)</f>
        <v>碎片</v>
      </c>
      <c r="B205" s="856"/>
      <c r="C205" s="283" t="str">
        <f>VLOOKUP("亡者之魂", Data!$B:$D,F1, FALSE)&amp;"（5-2-1）"</f>
        <v>亡者之魂（5-2-1）</v>
      </c>
      <c r="D205" s="860"/>
    </row>
    <row r="206" spans="1:4">
      <c r="A206" s="312" t="str">
        <f>VLOOKUP("黑靈魂石", Data!$B:$D,F1, FALSE)</f>
        <v>黑暗灵魂石</v>
      </c>
      <c r="B206" s="856"/>
      <c r="C206" s="861" t="str">
        <f>VLOOKUP("死亡使者", Data!$B:$D,F1, FALSE)&amp;"（5-3-2）"</f>
        <v>死亡使者（5-3-2）</v>
      </c>
      <c r="D206" s="860"/>
    </row>
    <row r="207" spans="1:4">
      <c r="A207" s="312" t="str">
        <f>VLOOKUP("厄傑爾", Data!$B:$D,F1, FALSE)</f>
        <v>厄兹尔</v>
      </c>
      <c r="B207" s="856"/>
      <c r="C207" s="862"/>
      <c r="D207" s="859"/>
    </row>
    <row r="208" spans="1:4">
      <c r="A208" s="312" t="str">
        <f>VLOOKUP("混沌界", Data!$B:$D,F1, FALSE)</f>
        <v>混沌界</v>
      </c>
      <c r="B208" s="856"/>
      <c r="C208" s="861" t="str">
        <f>VLOOKUP("攻城要塞", Data!$B:$D,F1, FALSE)&amp;"（5-7-1）"</f>
        <v>攻城要塞（5-7-1）</v>
      </c>
      <c r="D208" s="858" t="s">
        <v>3603</v>
      </c>
    </row>
    <row r="209" spans="1:4">
      <c r="A209" s="312" t="str">
        <f>VLOOKUP("瑪瑟爾的失蹤", Data!$B:$D,F1, FALSE)</f>
        <v>马萨伊尔的消失</v>
      </c>
      <c r="B209" s="856"/>
      <c r="C209" s="863"/>
      <c r="D209" s="860"/>
    </row>
    <row r="210" spans="1:4">
      <c r="A210" s="312" t="str">
        <f>VLOOKUP("要塞", Data!$B:$D,F1, FALSE)</f>
        <v>要塞</v>
      </c>
      <c r="B210" s="856"/>
      <c r="C210" s="862"/>
      <c r="D210" s="859"/>
    </row>
    <row r="211" spans="1:4" ht="15" thickBot="1">
      <c r="A211" s="313" t="str">
        <f>VLOOKUP("混沌界要塞", Data!$B:$D,F1, FALSE)</f>
        <v>混沌要塞</v>
      </c>
      <c r="B211" s="857"/>
      <c r="C211" s="310" t="str">
        <f>VLOOKUP("歿天使", Data!$B:$D,F1, FALSE)&amp;"（5-8-1）"</f>
        <v>死亡天使（5-8-1）</v>
      </c>
      <c r="D211" s="311" t="s">
        <v>3604</v>
      </c>
    </row>
    <row r="212" spans="1:4" ht="15" thickBot="1"/>
    <row r="213" spans="1:4" ht="23" thickBot="1">
      <c r="A213" s="749" t="str">
        <f>VLOOKUP("見多識廣的羅拉斯", Data!$B:$D,F1, FALSE)</f>
        <v>老万的传说</v>
      </c>
      <c r="B213" s="750"/>
      <c r="C213" s="750"/>
      <c r="D213" s="751"/>
    </row>
    <row r="214" spans="1:4">
      <c r="A214" s="292" t="s">
        <v>3472</v>
      </c>
      <c r="B214" s="284" t="s">
        <v>3473</v>
      </c>
      <c r="C214" s="277" t="s">
        <v>3474</v>
      </c>
      <c r="D214" s="293" t="s">
        <v>3475</v>
      </c>
    </row>
    <row r="215" spans="1:4">
      <c r="A215" s="312" t="str">
        <f>VLOOKUP("擊敗迪亞布羅", Data!$B:$D,F1, FALSE)</f>
        <v>魔神弑者</v>
      </c>
      <c r="B215" s="855" t="s">
        <v>3586</v>
      </c>
      <c r="C215" s="283" t="str">
        <f>VLOOKUP("亡者之魂", Data!$B:$D,F1, FALSE)&amp;"（5-2-3）"</f>
        <v>亡者之魂（5-2-3）</v>
      </c>
      <c r="D215" s="309" t="s">
        <v>3597</v>
      </c>
    </row>
    <row r="216" spans="1:4">
      <c r="A216" s="312" t="str">
        <f>VLOOKUP("赫拉迪姆兄弟會", Data!$B:$D,F1, FALSE)</f>
        <v>赫拉迪姆</v>
      </c>
      <c r="B216" s="856"/>
      <c r="C216" s="283" t="str">
        <f>VLOOKUP("亡者之魂", Data!$B:$D,F1, FALSE)&amp;"（5-2-1）"</f>
        <v>亡者之魂（5-2-1）</v>
      </c>
      <c r="D216" s="309"/>
    </row>
    <row r="217" spans="1:4">
      <c r="A217" s="312" t="str">
        <f>VLOOKUP("羅拉斯的故事", Data!$B:$D,F1, FALSE)</f>
        <v>洛拉斯的故事</v>
      </c>
      <c r="B217" s="856"/>
      <c r="C217" s="283" t="str">
        <f>VLOOKUP("亡者之魂", Data!$B:$D,F1, FALSE)&amp;"（5-2-3）"</f>
        <v>亡者之魂（5-2-3）</v>
      </c>
      <c r="D217" s="309" t="s">
        <v>3597</v>
      </c>
    </row>
    <row r="218" spans="1:4">
      <c r="A218" s="312" t="str">
        <f>VLOOKUP("重建衛斯馬屈", Data!$B:$D,F1, FALSE)</f>
        <v>重建威斯特玛</v>
      </c>
      <c r="B218" s="856"/>
      <c r="C218" s="283" t="str">
        <f>VLOOKUP("永恆戰場", Data!$B:$D,F1, FALSE)&amp;"（5-6-2）"</f>
        <v>永恒战场（5-6-2）</v>
      </c>
      <c r="D218" s="309"/>
    </row>
    <row r="219" spans="1:4">
      <c r="A219" s="312" t="str">
        <f>VLOOKUP("新赫拉迪姆", Data!$B:$D,F1, FALSE)</f>
        <v>新的赫拉迪姆</v>
      </c>
      <c r="B219" s="856"/>
      <c r="C219" s="283" t="str">
        <f>VLOOKUP("攻城要塞", Data!$B:$D,F1, FALSE)&amp;"（5-7-1）"</f>
        <v>攻城要塞（5-7-1）</v>
      </c>
      <c r="D219" s="309"/>
    </row>
    <row r="220" spans="1:4">
      <c r="A220" s="312" t="str">
        <f>VLOOKUP("混沌界", Data!$B:$D,F1, FALSE)</f>
        <v>混沌界</v>
      </c>
      <c r="B220" s="856"/>
      <c r="C220" s="283" t="str">
        <f>VLOOKUP("歿天使", Data!$B:$D,F1, FALSE)&amp;"（5-8-1）"</f>
        <v>死亡天使（5-8-1）</v>
      </c>
      <c r="D220" s="309" t="s">
        <v>3605</v>
      </c>
    </row>
    <row r="221" spans="1:4">
      <c r="A221" s="312" t="str">
        <f>VLOOKUP("迪卡·凱恩", Data!$B:$D,F1, FALSE)</f>
        <v>迪卡德·凯恩</v>
      </c>
      <c r="B221" s="856"/>
      <c r="C221" s="283" t="str">
        <f>VLOOKUP("死亡使者", Data!$B:$D,F1, FALSE)&amp;"（5-3-1）"</f>
        <v>死亡使者（5-3-1）</v>
      </c>
      <c r="D221" s="309"/>
    </row>
    <row r="222" spans="1:4">
      <c r="A222" s="312" t="str">
        <f>VLOOKUP("摧毀靈魂石", Data!$B:$D,F1, FALSE)</f>
        <v>摧毁灵魂石</v>
      </c>
      <c r="B222" s="856"/>
      <c r="C222" s="283" t="str">
        <f>VLOOKUP("死亡使者", Data!$B:$D,F1, FALSE)&amp;"（5-3-2）"</f>
        <v>死亡使者（5-3-2）</v>
      </c>
      <c r="D222" s="309"/>
    </row>
    <row r="223" spans="1:4" ht="15" thickBot="1">
      <c r="A223" s="313" t="str">
        <f>VLOOKUP("混沌界要塞", Data!$B:$D,F1, FALSE)</f>
        <v>混沌要塞</v>
      </c>
      <c r="B223" s="857"/>
      <c r="C223" s="310" t="str">
        <f>VLOOKUP("永恆戰場", Data!$B:$D,F1, FALSE)&amp;"（5-6-1）"</f>
        <v>永恒战场（5-6-1）</v>
      </c>
      <c r="D223" s="311"/>
    </row>
    <row r="224" spans="1:4" ht="15" thickBot="1"/>
    <row r="225" spans="1:4" ht="23" thickBot="1">
      <c r="A225" s="749" t="str">
        <f>VLOOKUP("將軍有令", Data!$B:$D,F1, FALSE)</f>
        <v>将军有令</v>
      </c>
      <c r="B225" s="750"/>
      <c r="C225" s="750"/>
      <c r="D225" s="751"/>
    </row>
    <row r="226" spans="1:4">
      <c r="A226" s="292" t="s">
        <v>3472</v>
      </c>
      <c r="B226" s="284" t="s">
        <v>3473</v>
      </c>
      <c r="C226" s="277" t="s">
        <v>3474</v>
      </c>
      <c r="D226" s="293" t="s">
        <v>3475</v>
      </c>
    </row>
    <row r="227" spans="1:4">
      <c r="A227" s="312" t="str">
        <f>VLOOKUP("加斯提安國王之死", Data!$B:$D,F1, FALSE)</f>
        <v>加斯迪安王之死</v>
      </c>
      <c r="B227" s="855" t="s">
        <v>3586</v>
      </c>
      <c r="C227" s="283" t="str">
        <f>VLOOKUP("死亡使者", Data!$B:$D,F1, FALSE)&amp;"（5-3-2）"</f>
        <v>死亡使者（5-3-2）</v>
      </c>
      <c r="D227" s="309" t="str">
        <f>"完成衛斯馬屈山城區任务“"&amp;VLOOKUP("狼王的真子", Data!$B:$D,F1, FALSE)&amp;"”后激活"</f>
        <v>完成衛斯馬屈山城區任务“狼王真子”后激活</v>
      </c>
    </row>
    <row r="228" spans="1:4">
      <c r="A228" s="312" t="str">
        <f>VLOOKUP("奮戰到底", Data!$B:$D,F1, FALSE)</f>
        <v>最后的坚守</v>
      </c>
      <c r="B228" s="856"/>
      <c r="C228" s="861" t="str">
        <f>VLOOKUP("亡者之魂", Data!$B:$D,F1, FALSE)&amp;"（5-2-3）"</f>
        <v>亡者之魂（5-2-3）</v>
      </c>
      <c r="D228" s="309"/>
    </row>
    <row r="229" spans="1:4" ht="15" thickBot="1">
      <c r="A229" s="313" t="str">
        <f>VLOOKUP("救兵", Data!$B:$D,F1, FALSE)</f>
        <v>援军</v>
      </c>
      <c r="B229" s="857"/>
      <c r="C229" s="864"/>
      <c r="D229" s="311" t="str">
        <f>"听完“"&amp;VLOOKUP("奮戰到底",Data!$B:$D,F1,FALSE)&amp;"”后激活"</f>
        <v>听完“最后的坚守”后激活</v>
      </c>
    </row>
    <row r="230" spans="1:4" ht="15" thickBot="1"/>
    <row r="231" spans="1:4" ht="23" thickBot="1">
      <c r="A231" s="749" t="str">
        <f>VLOOKUP("大義滅團", Data!$B:$D,F1, FALSE)</f>
        <v>大义灭团</v>
      </c>
      <c r="B231" s="750"/>
      <c r="C231" s="750"/>
      <c r="D231" s="751"/>
    </row>
    <row r="232" spans="1:4">
      <c r="A232" s="292" t="s">
        <v>3472</v>
      </c>
      <c r="B232" s="284" t="s">
        <v>3473</v>
      </c>
      <c r="C232" s="277" t="s">
        <v>3474</v>
      </c>
      <c r="D232" s="293" t="s">
        <v>3475</v>
      </c>
    </row>
    <row r="233" spans="1:4">
      <c r="A233" s="312" t="str">
        <f>VLOOKUP("寇馬可的不安", Data!$B:$D,F1, FALSE)</f>
        <v>柯麦克的心结</v>
      </c>
      <c r="B233" s="855" t="s">
        <v>3586</v>
      </c>
      <c r="C233" s="283" t="str">
        <f>VLOOKUP("亡者之魂", Data!$B:$D,F1, FALSE)&amp;"（5-2-1）"</f>
        <v>亡者之魂（5-2-1）</v>
      </c>
      <c r="D233" s="309"/>
    </row>
    <row r="234" spans="1:4">
      <c r="A234" s="312" t="str">
        <f>VLOOKUP("團長", Data!$B:$D,F1, FALSE)</f>
        <v>大团长</v>
      </c>
      <c r="B234" s="856"/>
      <c r="C234" s="861" t="str">
        <f>VLOOKUP("死亡使者", Data!$B:$D,F1, FALSE)&amp;"（5-3-1）"</f>
        <v>死亡使者（5-3-1）</v>
      </c>
      <c r="D234" s="309" t="str">
        <f>"听完“"&amp;VLOOKUP("團長", Data!$B:$D,F1, FALSE)&amp;"”后激活"</f>
        <v>听完“大团长”后激活</v>
      </c>
    </row>
    <row r="235" spans="1:4">
      <c r="A235" s="312" t="str">
        <f>VLOOKUP("騎士團的墮落", Data!$B:$D,F1, FALSE)</f>
        <v>骑士团的堕落</v>
      </c>
      <c r="B235" s="856"/>
      <c r="C235" s="862"/>
      <c r="D235" s="309" t="s">
        <v>3639</v>
      </c>
    </row>
    <row r="236" spans="1:4">
      <c r="A236" s="312" t="str">
        <f>VLOOKUP("心中的平靜", Data!$B:$D,F1, FALSE)</f>
        <v>心平气和</v>
      </c>
      <c r="B236" s="856"/>
      <c r="C236" s="283" t="str">
        <f>VLOOKUP("混沌界之門", Data!$B:$D,F1, FALSE)&amp;"（5-5-1）"</f>
        <v>混沌界大门（5-5-1）</v>
      </c>
      <c r="D236" s="309" t="str">
        <f>"听完“"&amp;VLOOKUP("騎士團的墮落", Data!$B:$D,F1, FALSE)&amp;"”后激活"</f>
        <v>听完“骑士团的堕落”后激活</v>
      </c>
    </row>
    <row r="237" spans="1:4">
      <c r="A237" s="312" t="str">
        <f>VLOOKUP("未來", Data!$B:$D,F1, FALSE)</f>
        <v>未来</v>
      </c>
      <c r="B237" s="856"/>
      <c r="C237" s="861" t="str">
        <f>VLOOKUP("永恆戰場", Data!$B:$D,F1, FALSE)&amp;"（5-6-1）"</f>
        <v>永恒战场（5-6-1）</v>
      </c>
      <c r="D237" s="309" t="str">
        <f>"听完“"&amp;VLOOKUP("心中的平靜", Data!$B:$D,F1, FALSE)&amp;"”后激活"</f>
        <v>听完“心平气和”后激活</v>
      </c>
    </row>
    <row r="238" spans="1:4">
      <c r="A238" s="312" t="str">
        <f>VLOOKUP("和艾蓮娜聊聊", Data!$B:$D,F1, FALSE)</f>
        <v>和艾蕾娜聊聊</v>
      </c>
      <c r="B238" s="856"/>
      <c r="C238" s="863"/>
      <c r="D238" s="309" t="str">
        <f>"听完“"&amp;VLOOKUP("未來",Data!$B:$D,F1,FALSE)&amp;"”后激活"</f>
        <v>听完“未来”后激活</v>
      </c>
    </row>
    <row r="239" spans="1:4" ht="15" thickBot="1">
      <c r="A239" s="313" t="str">
        <f>VLOOKUP("與艾蓮娜的未來", Data!$B:$D,F1, FALSE)</f>
        <v>与艾蕾娜的未来</v>
      </c>
      <c r="B239" s="857"/>
      <c r="C239" s="864"/>
      <c r="D239" s="309" t="str">
        <f>"听完“"&amp;VLOOKUP("和艾蓮娜聊聊", Data!$B:$D,F1, FALSE)&amp;"”后激活"</f>
        <v>听完“和艾蕾娜聊聊”后激活</v>
      </c>
    </row>
    <row r="240" spans="1:4" ht="15" thickBot="1"/>
    <row r="241" spans="1:4" ht="23" thickBot="1">
      <c r="A241" s="749" t="str">
        <f>VLOOKUP("哥哥的守護者", Data!$B:$D,F1, FALSE)</f>
        <v>哥哥的守护者</v>
      </c>
      <c r="B241" s="750"/>
      <c r="C241" s="750"/>
      <c r="D241" s="751"/>
    </row>
    <row r="242" spans="1:4">
      <c r="A242" s="292" t="s">
        <v>3472</v>
      </c>
      <c r="B242" s="284" t="s">
        <v>3473</v>
      </c>
      <c r="C242" s="277" t="s">
        <v>3474</v>
      </c>
      <c r="D242" s="293" t="s">
        <v>3475</v>
      </c>
    </row>
    <row r="243" spans="1:4">
      <c r="A243" s="312" t="str">
        <f>VLOOKUP("日漸增長的恐懼", Data!$B:$D,F1, FALSE)</f>
        <v>恐惧渐生</v>
      </c>
      <c r="B243" s="855" t="s">
        <v>3586</v>
      </c>
      <c r="C243" s="283" t="str">
        <f>VLOOKUP("亡者之魂", Data!$B:$D,F1, FALSE)&amp;"（5-2-3）"</f>
        <v>亡者之魂（5-2-3）</v>
      </c>
      <c r="D243" s="309"/>
    </row>
    <row r="244" spans="1:4">
      <c r="A244" s="312" t="str">
        <f>VLOOKUP("不安", Data!$B:$D,F1, FALSE)</f>
        <v>心事重重</v>
      </c>
      <c r="B244" s="856"/>
      <c r="C244" s="867" t="str">
        <f>VLOOKUP("死亡使者", Data!$B:$D,F1, FALSE)&amp;"（5-3-1）"</f>
        <v>死亡使者（5-3-1）</v>
      </c>
      <c r="D244" s="309" t="str">
        <f>"听完“"&amp;VLOOKUP("日漸增長的恐懼", Data!$B:$D,F1, FALSE)&amp;"”后激活"</f>
        <v>听完“恐惧渐生”后激活</v>
      </c>
    </row>
    <row r="245" spans="1:4">
      <c r="A245" s="312" t="str">
        <f>VLOOKUP("偷來的人生", Data!$B:$D,F1, FALSE)</f>
        <v>“借”来的一生</v>
      </c>
      <c r="B245" s="856"/>
      <c r="C245" s="867"/>
      <c r="D245" s="309" t="s">
        <v>3646</v>
      </c>
    </row>
    <row r="246" spans="1:4">
      <c r="A246" s="312" t="str">
        <f>VLOOKUP("借酒澆愁", Data!$B:$D,F1, FALSE)</f>
        <v>借酒消愁</v>
      </c>
      <c r="B246" s="856"/>
      <c r="C246" s="867" t="str">
        <f>VLOOKUP("永恆戰場", Data!$B:$D,F1, FALSE)&amp;"（5-6-1）"</f>
        <v>永恒战场（5-6-1）</v>
      </c>
      <c r="D246" s="309" t="str">
        <f>"听完“"&amp;VLOOKUP("偷來的人生", Data!$B:$D,F1, FALSE)&amp;"”后激活"</f>
        <v>听完““借”来的一生”后激活</v>
      </c>
    </row>
    <row r="247" spans="1:4">
      <c r="A247" s="312" t="str">
        <f>VLOOKUP("幫林登的忙", Data!$B:$D,F1, FALSE)</f>
        <v>帮林登的忙</v>
      </c>
      <c r="B247" s="856"/>
      <c r="C247" s="867"/>
      <c r="D247" s="309" t="str">
        <f>"听完“"&amp;VLOOKUP("借酒澆愁", Data!$B:$D,F1, FALSE)&amp;"”后激活，找海德格对话"</f>
        <v>听完“借酒消愁”后激活，找海德格对话</v>
      </c>
    </row>
    <row r="248" spans="1:4" ht="15" thickBot="1">
      <c r="A248" s="313" t="str">
        <f>VLOOKUP("匕首裡的字條", Data!$B:$D,F1, FALSE)</f>
        <v>一把匕首的故事</v>
      </c>
      <c r="B248" s="857"/>
      <c r="C248" s="310" t="str">
        <f>VLOOKUP("歿天使", Data!$B:$D,F1, FALSE)&amp;"（5-8-1）"</f>
        <v>死亡天使（5-8-1）</v>
      </c>
      <c r="D248" s="311" t="str">
        <f>"听完“"&amp;VLOOKUP("幫林登的忙", Data!$B:$D,F1, FALSE)&amp;"”后激活"</f>
        <v>听完“帮林登的忙”后激活</v>
      </c>
    </row>
    <row r="249" spans="1:4" ht="15" thickBot="1"/>
    <row r="250" spans="1:4" ht="23" thickBot="1">
      <c r="A250" s="749" t="str">
        <f>VLOOKUP("女人心事", Data!$B:$D,F1, FALSE)</f>
        <v>女人心事</v>
      </c>
      <c r="B250" s="750"/>
      <c r="C250" s="750"/>
      <c r="D250" s="751"/>
    </row>
    <row r="251" spans="1:4">
      <c r="A251" s="292" t="s">
        <v>3472</v>
      </c>
      <c r="B251" s="284" t="s">
        <v>3473</v>
      </c>
      <c r="C251" s="277" t="s">
        <v>3474</v>
      </c>
      <c r="D251" s="293" t="s">
        <v>3475</v>
      </c>
    </row>
    <row r="252" spans="1:4">
      <c r="A252" s="312" t="str">
        <f>VLOOKUP("生還者", Data!$B:$D,F1, FALSE)</f>
        <v>幸存者</v>
      </c>
      <c r="B252" s="855" t="s">
        <v>3586</v>
      </c>
      <c r="C252" s="283" t="str">
        <f>VLOOKUP("亡者之魂", Data!$B:$D,F1, FALSE)&amp;"（5-2-1）"</f>
        <v>亡者之魂（5-2-1）</v>
      </c>
      <c r="D252" s="309" t="str">
        <f>"听完“"&amp;VLOOKUP("衛斯馬屈", Data!$B:$D,F1, FALSE)&amp;"”后激活"</f>
        <v>听完“威斯特玛”后激活</v>
      </c>
    </row>
    <row r="253" spans="1:4">
      <c r="A253" s="312" t="str">
        <f>VLOOKUP("遺棄", Data!$B:$D,F1, FALSE)</f>
        <v>被弃者</v>
      </c>
      <c r="B253" s="856"/>
      <c r="C253" s="283" t="str">
        <f>VLOOKUP("亡者之魂", Data!$B:$D,F1, FALSE)&amp;"（5-2-3）"</f>
        <v>亡者之魂（5-2-3）</v>
      </c>
      <c r="D253" s="309" t="str">
        <f>"听完“"&amp;VLOOKUP("生還者", Data!$B:$D,F1, FALSE)&amp;"”后激活"</f>
        <v>听完“幸存者”后激活</v>
      </c>
    </row>
    <row r="254" spans="1:4">
      <c r="A254" s="312" t="str">
        <f>VLOOKUP("惡魔法術", Data!$B:$D,F1, FALSE)</f>
        <v>恶魔魔法</v>
      </c>
      <c r="B254" s="856"/>
      <c r="C254" s="283" t="str">
        <f>VLOOKUP("死亡使者", Data!$B:$D,F1, FALSE)&amp;"（5-3-1）"</f>
        <v>死亡使者（5-3-1）</v>
      </c>
      <c r="D254" s="309" t="str">
        <f>"听完“"&amp;VLOOKUP("遺棄", Data!$B:$D,F1, FALSE)&amp;"”后激活"</f>
        <v>听完“被弃者”后激活</v>
      </c>
    </row>
    <row r="255" spans="1:4">
      <c r="A255" s="312" t="str">
        <f>VLOOKUP("來自遠方的聲音", Data!$B:$D,F1, FALSE)</f>
        <v>远方之音</v>
      </c>
      <c r="B255" s="856"/>
      <c r="C255" s="283" t="str">
        <f>VLOOKUP("女巫", Data!$B:$D,F1, FALSE)&amp;"（5-4-1）"</f>
        <v>女巫（5-4-1）</v>
      </c>
      <c r="D255" s="309" t="str">
        <f>"听完“"&amp;VLOOKUP("惡魔法術", Data!$B:$D,F1, FALSE)&amp;"”后激活"</f>
        <v>听完“恶魔魔法”后激活</v>
      </c>
    </row>
    <row r="256" spans="1:4">
      <c r="A256" s="312" t="str">
        <f>VLOOKUP("混沌界", Data!$B:$D,F1, FALSE)</f>
        <v>混沌界</v>
      </c>
      <c r="B256" s="856"/>
      <c r="C256" s="867" t="str">
        <f>VLOOKUP("永恆戰場", Data!$B:$D,F1, FALSE)&amp;"（5-6-1）"</f>
        <v>永恒战场（5-6-1）</v>
      </c>
      <c r="D256" s="309" t="str">
        <f>"听完“"&amp;VLOOKUP("來自遠方的聲音", Data!$B:$D,F1, FALSE)&amp;"”后激活"</f>
        <v>听完“远方之音”后激活</v>
      </c>
    </row>
    <row r="257" spans="1:4">
      <c r="A257" s="312" t="str">
        <f>VLOOKUP("麗莎", Data!$B:$D,F1, FALSE)</f>
        <v>莱萨</v>
      </c>
      <c r="B257" s="856"/>
      <c r="C257" s="867"/>
      <c r="D257" s="309" t="s">
        <v>3920</v>
      </c>
    </row>
    <row r="258" spans="1:4" ht="15" thickBot="1">
      <c r="A258" s="313" t="str">
        <f>VLOOKUP("新的預言者", Data!$B:$D,F1, FALSE)</f>
        <v>新的先知</v>
      </c>
      <c r="B258" s="857"/>
      <c r="C258" s="310" t="str">
        <f>VLOOKUP("歿天使", Data!$B:$D,F1, FALSE)&amp;"（5-8-1）"</f>
        <v>死亡天使（5-8-1）</v>
      </c>
      <c r="D258" s="311" t="str">
        <f>"听完“"&amp;VLOOKUP("麗莎", Data!$B:$D,F1, FALSE)&amp;"”后激活"</f>
        <v>听完“莱萨”后激活</v>
      </c>
    </row>
    <row r="259" spans="1:4" ht="15" thickBot="1"/>
    <row r="260" spans="1:4" ht="23" thickBot="1">
      <c r="A260" s="749" t="str">
        <f>VLOOKUP("打鐵趁熱", Data!$B:$D,F1, FALSE)</f>
        <v>锤铸新生</v>
      </c>
      <c r="B260" s="750"/>
      <c r="C260" s="750"/>
      <c r="D260" s="751"/>
    </row>
    <row r="261" spans="1:4">
      <c r="A261" s="292" t="s">
        <v>3472</v>
      </c>
      <c r="B261" s="284" t="s">
        <v>3473</v>
      </c>
      <c r="C261" s="277" t="s">
        <v>3474</v>
      </c>
      <c r="D261" s="293" t="s">
        <v>3475</v>
      </c>
    </row>
    <row r="262" spans="1:4">
      <c r="A262" s="312" t="str">
        <f>VLOOKUP("新的伙伴", Data!$B:$D,F1, FALSE)</f>
        <v>新的伙伴</v>
      </c>
      <c r="B262" s="865" t="s">
        <v>3586</v>
      </c>
      <c r="C262" s="283" t="str">
        <f>VLOOKUP("亡者之魂", Data!$B:$D,F1, FALSE)&amp;"（5-2-1）"</f>
        <v>亡者之魂（5-2-1）</v>
      </c>
      <c r="D262" s="309"/>
    </row>
    <row r="263" spans="1:4">
      <c r="A263" s="312" t="str">
        <f>VLOOKUP("風波驟起", Data!$B:$D,F1, FALSE)</f>
        <v>烦恼突现</v>
      </c>
      <c r="B263" s="865"/>
      <c r="C263" s="283" t="str">
        <f>VLOOKUP("死亡使者", Data!$B:$D,F1, FALSE)&amp;"（5-3-1）"</f>
        <v>死亡使者（5-3-1）</v>
      </c>
      <c r="D263" s="309" t="str">
        <f>"听完“"&amp;VLOOKUP("新的伙伴", Data!$B:$D,F1, FALSE)&amp;"”后激活"</f>
        <v>听完“新的伙伴”后激活</v>
      </c>
    </row>
    <row r="264" spans="1:4">
      <c r="A264" s="312" t="str">
        <f>VLOOKUP("布萊森", Data!$B:$D,F1, FALSE)</f>
        <v>布莱森</v>
      </c>
      <c r="B264" s="865"/>
      <c r="C264" s="283" t="str">
        <f>VLOOKUP("女巫", Data!$B:$D,F1, FALSE)&amp;"（5-4-1）"</f>
        <v>女巫（5-4-1）</v>
      </c>
      <c r="D264" s="309" t="str">
        <f>"听完“"&amp;VLOOKUP("風波驟起", Data!$B:$D,F1, FALSE)&amp;"”后激活"</f>
        <v>听完“烦恼突现”后激活</v>
      </c>
    </row>
    <row r="265" spans="1:4">
      <c r="A265" s="312" t="str">
        <f>VLOOKUP("體悟", Data!$B:$D,F1, FALSE)</f>
        <v>感悟</v>
      </c>
      <c r="B265" s="865"/>
      <c r="C265" s="283" t="str">
        <f>VLOOKUP("永恆戰場", Data!$B:$D,F1, FALSE)&amp;"（5-6-1）"</f>
        <v>永恒战场（5-6-1）</v>
      </c>
      <c r="D265" s="309" t="str">
        <f>"听完“"&amp;VLOOKUP("布萊森", Data!$B:$D,F1, FALSE)&amp;"”后激活"</f>
        <v>听完“布莱森”后激活</v>
      </c>
    </row>
    <row r="266" spans="1:4">
      <c r="A266" s="312" t="str">
        <f>VLOOKUP("重新鍛鑄", Data!$B:$D,F1, FALSE)</f>
        <v>重铸人生</v>
      </c>
      <c r="B266" s="865"/>
      <c r="C266" s="283" t="str">
        <f>VLOOKUP("歿天使", Data!$B:$D,F1, FALSE)&amp;"（5-8-1）"</f>
        <v>死亡天使（5-8-1）</v>
      </c>
      <c r="D266" s="309" t="str">
        <f>"听完“"&amp;VLOOKUP("重新鍛鑄", Data!$B:$D,F1, FALSE)&amp;"”后激活"</f>
        <v>听完“重铸人生”后激活</v>
      </c>
    </row>
    <row r="267" spans="1:4" ht="15" thickBot="1">
      <c r="A267" s="313" t="str">
        <f>VLOOKUP("看法", Data!$B:$D,F1, FALSE)</f>
        <v>思绪</v>
      </c>
      <c r="B267" s="866"/>
      <c r="C267" s="310" t="str">
        <f>VLOOKUP("亡者之魂", Data!$B:$D,F1, FALSE)&amp;"（5-2-1）"</f>
        <v>亡者之魂（5-2-1）</v>
      </c>
      <c r="D267" s="311"/>
    </row>
    <row r="268" spans="1:4" ht="15" thickBot="1"/>
    <row r="269" spans="1:4" ht="23" thickBot="1">
      <c r="A269" s="749" t="str">
        <f>VLOOKUP("一晌「貪」歡", Data!$B:$D,F1, FALSE)</f>
        <v>沈言神语</v>
      </c>
      <c r="B269" s="750"/>
      <c r="C269" s="750"/>
      <c r="D269" s="751"/>
    </row>
    <row r="270" spans="1:4">
      <c r="A270" s="292" t="s">
        <v>3472</v>
      </c>
      <c r="B270" s="284" t="s">
        <v>3473</v>
      </c>
      <c r="C270" s="277" t="s">
        <v>3474</v>
      </c>
      <c r="D270" s="293" t="s">
        <v>3475</v>
      </c>
    </row>
    <row r="271" spans="1:4">
      <c r="A271" s="312" t="str">
        <f>VLOOKUP("莉瑞雅", Data!$B:$D,F1, FALSE)</f>
        <v>丽瑞雅</v>
      </c>
      <c r="B271" s="855" t="s">
        <v>3586</v>
      </c>
      <c r="C271" s="283" t="str">
        <f>VLOOKUP("亡者之魂", Data!$B:$D,F1, FALSE)&amp;"（5-2-1）"</f>
        <v>亡者之魂（5-2-1）</v>
      </c>
      <c r="D271" s="309"/>
    </row>
    <row r="272" spans="1:4">
      <c r="A272" s="312" t="str">
        <f>VLOOKUP("慾望之神", Data!$B:$D,F1, FALSE)</f>
        <v>欲望之神</v>
      </c>
      <c r="B272" s="856"/>
      <c r="C272" s="283" t="str">
        <f>VLOOKUP("亡者之魂", Data!$B:$D,F1, FALSE)&amp;"（5-2-3）"</f>
        <v>亡者之魂（5-2-3）</v>
      </c>
      <c r="D272" s="309" t="str">
        <f>"听完“"&amp;VLOOKUP("莉瑞雅", Data!$B:$D,F1, FALSE)&amp;"”后激活"</f>
        <v>听完“丽瑞雅”后激活</v>
      </c>
    </row>
    <row r="273" spans="1:4">
      <c r="A273" s="312" t="str">
        <f>VLOOKUP("賊神的計畫", Data!$B:$D,F1, FALSE)</f>
        <v>贼神的计划</v>
      </c>
      <c r="B273" s="856"/>
      <c r="C273" s="283" t="str">
        <f>VLOOKUP("死亡使者", Data!$B:$D,F1, FALSE)&amp;"（5-3-1）"</f>
        <v>死亡使者（5-3-1）</v>
      </c>
      <c r="D273" s="309" t="str">
        <f>"听完“"&amp;VLOOKUP("慾望之神", Data!$B:$D,F1, FALSE)&amp;"”后激活"</f>
        <v>听完“欲望之神”后激活</v>
      </c>
    </row>
    <row r="274" spans="1:4">
      <c r="A274" s="312" t="str">
        <f>VLOOKUP("完美的一夜", Data!$B:$D,F1, FALSE)</f>
        <v>完美的一夜</v>
      </c>
      <c r="B274" s="856"/>
      <c r="C274" s="283" t="str">
        <f>VLOOKUP("女巫", Data!$B:$D,F1, FALSE)&amp;"（5-4-1）"</f>
        <v>女巫（5-4-1）</v>
      </c>
      <c r="D274" s="309" t="str">
        <f>"听完“"&amp;VLOOKUP("賊神的計畫", Data!$B:$D,F1, FALSE)&amp;"”后激活"</f>
        <v>听完“贼神的计划”后激活</v>
      </c>
    </row>
    <row r="275" spans="1:4">
      <c r="A275" s="312" t="str">
        <f>VLOOKUP("賊神的喜樂", Data!$B:$D,F1, FALSE)</f>
        <v>贼神的喜悦</v>
      </c>
      <c r="B275" s="856"/>
      <c r="C275" s="861" t="str">
        <f>VLOOKUP("混沌界之門", Data!$B:$D,F1, FALSE)&amp;"（5-5-1）"</f>
        <v>混沌界大门（5-5-1）</v>
      </c>
      <c r="D275" s="309" t="str">
        <f>"听完“"&amp;VLOOKUP("完美的一夜", Data!$B:$D,F1, FALSE)&amp;"”后激活"</f>
        <v>听完“完美的一夜”后激活</v>
      </c>
    </row>
    <row r="276" spans="1:4">
      <c r="A276" s="312" t="str">
        <f>VLOOKUP("賊神的傷痛", Data!$B:$D,F1, FALSE)</f>
        <v>贼神的伤痛</v>
      </c>
      <c r="B276" s="856"/>
      <c r="C276" s="862"/>
      <c r="D276" s="309" t="str">
        <f>"听完“"&amp;VLOOKUP("賊神的喜樂", Data!$B:$D,F1, FALSE)&amp;"”后激活"</f>
        <v>听完“贼神的喜悦”后激活</v>
      </c>
    </row>
    <row r="277" spans="1:4">
      <c r="A277" s="312" t="str">
        <f>VLOOKUP("德傑斯特的寶石", Data!$B:$D,F1, FALSE)</f>
        <v>狄杰斯特的珠宝</v>
      </c>
      <c r="B277" s="856"/>
      <c r="C277" s="861" t="str">
        <f>VLOOKUP("攻城要塞", Data!$B:$D,F1, FALSE)&amp;"（5-7-1）"</f>
        <v>攻城要塞（5-7-1）</v>
      </c>
      <c r="D277" s="309" t="str">
        <f>"听完“"&amp;VLOOKUP("賊神的傷痛", Data!$B:$D,F1, FALSE)&amp;"”后激活"</f>
        <v>听完“贼神的伤痛”后激活</v>
      </c>
    </row>
    <row r="278" spans="1:4" ht="15" thickBot="1">
      <c r="A278" s="313" t="str">
        <f>VLOOKUP("尋找德傑斯特", Data!$B:$D,F1, FALSE)</f>
        <v>寻找狄杰斯特</v>
      </c>
      <c r="B278" s="857"/>
      <c r="C278" s="864"/>
      <c r="D278" s="311" t="s">
        <v>3651</v>
      </c>
    </row>
    <row r="279" spans="1:4" ht="15" thickBot="1"/>
    <row r="280" spans="1:4" ht="23" thickBot="1">
      <c r="A280" s="749" t="str">
        <f>VLOOKUP("維欽人碎碎念", Data!$B:$D,F1, FALSE)</f>
        <v>维辛人的虽言碎语</v>
      </c>
      <c r="B280" s="750"/>
      <c r="C280" s="750"/>
      <c r="D280" s="751"/>
    </row>
    <row r="281" spans="1:4">
      <c r="A281" s="292" t="s">
        <v>3472</v>
      </c>
      <c r="B281" s="284" t="s">
        <v>3473</v>
      </c>
      <c r="C281" s="277" t="s">
        <v>3474</v>
      </c>
      <c r="D281" s="293" t="s">
        <v>3475</v>
      </c>
    </row>
    <row r="282" spans="1:4">
      <c r="A282" s="320" t="str">
        <f>VLOOKUP("世界的本質", Data!$B:$D,F1, FALSE)</f>
        <v>世界的本质</v>
      </c>
      <c r="B282" s="868" t="s">
        <v>3606</v>
      </c>
      <c r="C282" s="81" t="str">
        <f>VLOOKUP("破碎的王冠", Data!$B:$D,F1, FALSE)&amp;"（1-3-1）"</f>
        <v>破损的王冠（1-3-1）</v>
      </c>
      <c r="D282" s="84" t="s">
        <v>3610</v>
      </c>
    </row>
    <row r="283" spans="1:4">
      <c r="A283" s="320" t="str">
        <f>VLOOKUP("艱辛的道路", Data!$B:$D,F1, FALSE)</f>
        <v>艰辛之路</v>
      </c>
      <c r="B283" s="869"/>
      <c r="C283" s="81" t="str">
        <f>VLOOKUP("破碎的異世之劍", Data!$B:$D,F1, FALSE)&amp;"（1-6-1）"</f>
        <v>破损的剑刃（1-6-1）</v>
      </c>
      <c r="D283" s="84" t="s">
        <v>3617</v>
      </c>
    </row>
    <row r="284" spans="1:4">
      <c r="A284" s="320" t="str">
        <f>VLOOKUP("骷髏王", Data!$B:$D,F1, FALSE)</f>
        <v>骷髅王</v>
      </c>
      <c r="B284" s="869"/>
      <c r="C284" s="81" t="str">
        <f>VLOOKUP("黑狂君的統治", Data!$B:$D,F1, FALSE)&amp;"（1-4-1）"</f>
        <v>黑暗国王的统治（1-4-1）</v>
      </c>
      <c r="D284" s="84" t="s">
        <v>3611</v>
      </c>
    </row>
    <row r="285" spans="1:4">
      <c r="A285" s="320" t="str">
        <f>VLOOKUP("沉沒神殿", Data!$B:$D,F1, FALSE)</f>
        <v>沉没的神庙</v>
      </c>
      <c r="B285" s="869"/>
      <c r="C285" s="81" t="str">
        <f>VLOOKUP("破碎的異世之劍", Data!$B:$D,F1, FALSE)&amp;"（1-6-1）"</f>
        <v>破损的剑刃（1-6-1）</v>
      </c>
      <c r="D285" s="84" t="s">
        <v>3612</v>
      </c>
    </row>
    <row r="286" spans="1:4">
      <c r="A286" s="320" t="str">
        <f>VLOOKUP("黑暗的景象", Data!$B:$D,F1, FALSE)</f>
        <v>黑暗预示</v>
      </c>
      <c r="B286" s="869"/>
      <c r="C286" s="81" t="str">
        <f>VLOOKUP("沃薩姆的浩劫", Data!$B:$D,F1, FALSE)&amp;"（1-7-1）"</f>
        <v>沃桑的劫数（1-7-1）</v>
      </c>
      <c r="D286" s="84" t="s">
        <v>3613</v>
      </c>
    </row>
    <row r="287" spans="1:4">
      <c r="A287" s="320" t="str">
        <f>VLOOKUP("凱恩之死", Data!$B:$D,F1, FALSE)</f>
        <v>凯恩之死</v>
      </c>
      <c r="B287" s="869"/>
      <c r="C287" s="81" t="str">
        <f>VLOOKUP("追尋真神教", Data!$B:$D,F1, FALSE)&amp;"（1-8-1）"</f>
        <v>追踪巫师会（1-8-1）</v>
      </c>
      <c r="D287" s="84" t="s">
        <v>3615</v>
      </c>
    </row>
    <row r="288" spans="1:4">
      <c r="A288" s="320" t="str">
        <f>VLOOKUP("邪惡的魔物", Data!$B:$D,F1, FALSE)</f>
        <v>邪恶的魔物</v>
      </c>
      <c r="B288" s="870"/>
      <c r="C288" s="81" t="str">
        <f>VLOOKUP("被囚禁的天使", Data!$B:$D,F1, FALSE)&amp;"（1-9-1）"</f>
        <v>被囚禁的天使（1-9-1）</v>
      </c>
      <c r="D288" s="84" t="s">
        <v>3616</v>
      </c>
    </row>
    <row r="289" spans="1:4">
      <c r="A289" s="321" t="str">
        <f>VLOOKUP("憂心忡忡", Data!$B:$D,F1, FALSE)</f>
        <v>世界的重担</v>
      </c>
      <c r="B289" s="871" t="s">
        <v>3607</v>
      </c>
      <c r="C289" s="874" t="str">
        <f>VLOOKUP("沙漠之影", Data!$B:$D,F1, FALSE)&amp;"（2-1-1）"</f>
        <v>沙漠魅影（2-1-1）</v>
      </c>
      <c r="D289" s="877" t="s">
        <v>3619</v>
      </c>
    </row>
    <row r="290" spans="1:4">
      <c r="A290" s="321" t="str">
        <f>VLOOKUP("真神教", Data!$B:$D,F1, FALSE)</f>
        <v>巫师会</v>
      </c>
      <c r="B290" s="872"/>
      <c r="C290" s="875"/>
      <c r="D290" s="878"/>
    </row>
    <row r="291" spans="1:4">
      <c r="A291" s="321" t="str">
        <f>VLOOKUP("巫女", Data!$B:$D,F1, FALSE)</f>
        <v>魔女</v>
      </c>
      <c r="B291" s="872"/>
      <c r="C291" s="875"/>
      <c r="D291" s="99" t="s">
        <v>3620</v>
      </c>
    </row>
    <row r="292" spans="1:4">
      <c r="A292" s="321" t="str">
        <f>VLOOKUP("鐵匠", Data!$B:$D,F1, FALSE)</f>
        <v>铁匠</v>
      </c>
      <c r="B292" s="872"/>
      <c r="C292" s="876"/>
      <c r="D292" s="99" t="s">
        <v>3621</v>
      </c>
    </row>
    <row r="293" spans="1:4">
      <c r="A293" s="321" t="str">
        <f>VLOOKUP("家庭", Data!$B:$D,F1, FALSE)</f>
        <v>家庭</v>
      </c>
      <c r="B293" s="872"/>
      <c r="C293" s="874" t="str">
        <f>VLOOKUP("往奧卡納斯的道路", Data!$B:$D,F1, FALSE)&amp;"（2-2-1）"</f>
        <v>通往阿尔阿纳斯之路（2-2-1）</v>
      </c>
      <c r="D293" s="99" t="s">
        <v>3624</v>
      </c>
    </row>
    <row r="294" spans="1:4">
      <c r="A294" s="321" t="str">
        <f>VLOOKUP("珠寶匠", Data!$B:$D,F1, FALSE)</f>
        <v>珠宝匠</v>
      </c>
      <c r="B294" s="872"/>
      <c r="C294" s="876"/>
      <c r="D294" s="99" t="str">
        <f>"听完“"&amp;VLOOKUP("家庭", Data!$B:$D,F1, FALSE)&amp;"”后激活，第二章结束前对话"</f>
        <v>听完“家庭”后激活，第二章结束前对话</v>
      </c>
    </row>
    <row r="295" spans="1:4">
      <c r="A295" s="321" t="str">
        <f>VLOOKUP("封鎖城市", Data!$B:$D,F1, FALSE)</f>
        <v>封闭之城</v>
      </c>
      <c r="B295" s="872"/>
      <c r="C295" s="96" t="str">
        <f>VLOOKUP("皇室覲見", Data!$B:$D,F1, FALSE)&amp;"（2-4-1）"</f>
        <v>皇室觐见（2-4-1）</v>
      </c>
      <c r="D295" s="99" t="s">
        <v>3625</v>
      </c>
    </row>
    <row r="296" spans="1:4">
      <c r="A296" s="321" t="str">
        <f>VLOOKUP("追隨者", Data!$B:$D,F1, FALSE)</f>
        <v>追随者</v>
      </c>
      <c r="B296" s="872"/>
      <c r="C296" s="96" t="str">
        <f>VLOOKUP("意外的盟友", Data!$B:$D,F1, FALSE)&amp;"（2-5-1）"</f>
        <v>命运之交（2-5-1）</v>
      </c>
      <c r="D296" s="877" t="s">
        <v>3624</v>
      </c>
    </row>
    <row r="297" spans="1:4">
      <c r="A297" s="321" t="str">
        <f>VLOOKUP("愛德莉雅的目的", Data!$B:$D,F1, FALSE)</f>
        <v>艾德莉亚的意图</v>
      </c>
      <c r="B297" s="872"/>
      <c r="C297" s="874" t="str">
        <f>VLOOKUP("赫拉迪姆的背叛者", Data!$B:$D,F1, FALSE)&amp;"（2-6-1）"</f>
        <v>赫拉迪姆背叛者（2-6-1）</v>
      </c>
      <c r="D297" s="878"/>
    </row>
    <row r="298" spans="1:4">
      <c r="A298" s="321" t="str">
        <f>VLOOKUP("米瑞姆的擔憂", Data!$B:$D,F1, FALSE)</f>
        <v>米丽安的担心</v>
      </c>
      <c r="B298" s="872"/>
      <c r="C298" s="875"/>
      <c r="D298" s="99" t="str">
        <f>"听完“"&amp;VLOOKUP("愛德莉雅的目的", Data!$B:$D,F1, FALSE)&amp;"”后激活，第二章结束前对话"</f>
        <v>听完“艾德莉亚的意图”后激活，第二章结束前对话</v>
      </c>
    </row>
    <row r="299" spans="1:4">
      <c r="A299" s="321" t="str">
        <f>VLOOKUP("佐敦庫勒", Data!$B:$D,F1, FALSE)</f>
        <v>佐敦·库勒</v>
      </c>
      <c r="B299" s="872"/>
      <c r="C299" s="876"/>
      <c r="D299" s="99" t="s">
        <v>3622</v>
      </c>
    </row>
    <row r="300" spans="1:4">
      <c r="A300" s="321" t="str">
        <f>VLOOKUP("佐敦庫勒的背叛", Data!$B:$D,F1, FALSE)</f>
        <v>佐敦·库勒的背叛</v>
      </c>
      <c r="B300" s="872"/>
      <c r="C300" s="874" t="str">
        <f>VLOOKUP("黑靈魂石", Data!$B:$D,F1, FALSE)&amp;"（2-8-1）"</f>
        <v>黑暗灵魂石（2-8-1）</v>
      </c>
      <c r="D300" s="99" t="s">
        <v>3623</v>
      </c>
    </row>
    <row r="301" spans="1:4">
      <c r="A301" s="321" t="str">
        <f>VLOOKUP("改變未來", Data!$B:$D,F1, FALSE)</f>
        <v>改变未来</v>
      </c>
      <c r="B301" s="872"/>
      <c r="C301" s="876"/>
      <c r="D301" s="99" t="str">
        <f>"听完“"&amp;VLOOKUP("佐敦庫勒的背叛", Data!$B:$D,F1, FALSE)&amp;"”后激活，第二章结束前对话"</f>
        <v>听完“佐敦·库勒的背叛”后激活，第二章结束前对话</v>
      </c>
    </row>
    <row r="302" spans="1:4">
      <c r="A302" s="321" t="str">
        <f>VLOOKUP("彼列", Data!$B:$D,F1, FALSE)</f>
        <v>彼列</v>
      </c>
      <c r="B302" s="872"/>
      <c r="C302" s="874" t="str">
        <f>VLOOKUP("謊言之王", Data!$B:$D,F1, FALSE)&amp;"（2-10-1）"</f>
        <v>谎言之王（2-10-1）</v>
      </c>
      <c r="D302" s="99" t="s">
        <v>3626</v>
      </c>
    </row>
    <row r="303" spans="1:4">
      <c r="A303" s="321" t="str">
        <f>VLOOKUP("擊敗彼列", Data!$B:$D,F1, FALSE)</f>
        <v>彼列的失败</v>
      </c>
      <c r="B303" s="873"/>
      <c r="C303" s="876"/>
      <c r="D303" s="99" t="s">
        <v>3630</v>
      </c>
    </row>
    <row r="304" spans="1:4">
      <c r="A304" s="322" t="str">
        <f>VLOOKUP("預言", Data!$B:$D,F1, FALSE)</f>
        <v>预示</v>
      </c>
      <c r="B304" s="882" t="s">
        <v>3608</v>
      </c>
      <c r="C304" s="217" t="str">
        <f>VLOOKUP("罪惡之核", Data!$B:$D,F1, FALSE)&amp;"（3-7-1）"</f>
        <v>罪恶之心（3-7-1）</v>
      </c>
      <c r="D304" s="885" t="s">
        <v>3631</v>
      </c>
    </row>
    <row r="305" spans="1:4">
      <c r="A305" s="322" t="str">
        <f>VLOOKUP("守護要塞", Data!$B:$D,F1, FALSE)</f>
        <v>守卫要塞</v>
      </c>
      <c r="B305" s="883"/>
      <c r="C305" s="217" t="str">
        <f>VLOOKUP("戍衛要塞圍困", Data!$B:$D,F1, FALSE)&amp;"（3-1-2）"</f>
        <v>要塞围攻（3-1-2）</v>
      </c>
      <c r="D305" s="886"/>
    </row>
    <row r="306" spans="1:4">
      <c r="A306" s="322" t="str">
        <f>VLOOKUP("可憎的惡魔", Data!$B:$D,F1, FALSE)</f>
        <v>恶心的恶魔</v>
      </c>
      <c r="B306" s="883"/>
      <c r="C306" s="217" t="str">
        <f>VLOOKUP("扭轉戰況", Data!$B:$D,F1, FALSE)&amp;"（3-2-1）"</f>
        <v>力挽狂澜（3-2-1）</v>
      </c>
      <c r="D306" s="219" t="s">
        <v>3629</v>
      </c>
    </row>
    <row r="307" spans="1:4">
      <c r="A307" s="322" t="str">
        <f>VLOOKUP("黑暗的濁氣", Data!$B:$D,F1, FALSE)</f>
        <v>邪恶的黑暗</v>
      </c>
      <c r="B307" s="883"/>
      <c r="C307" s="217" t="str">
        <f>VLOOKUP("要塞缺口", Data!$B:$D,F1, FALSE)&amp;"（3-3-1）"</f>
        <v>被攻破的要塞（3-3-1）</v>
      </c>
      <c r="D307" s="219" t="s">
        <v>3632</v>
      </c>
    </row>
    <row r="308" spans="1:4">
      <c r="A308" s="322" t="str">
        <f>VLOOKUP("人生的樂趣", Data!$B:$D,F1, FALSE)</f>
        <v>享受生活</v>
      </c>
      <c r="B308" s="883"/>
      <c r="C308" s="217" t="str">
        <f>VLOOKUP("靈魂石的震顫", Data!$B:$D,F1, FALSE)&amp;"（3-4-1）"</f>
        <v>灵魂石中的响动（3-4-1）</v>
      </c>
      <c r="D308" s="219" t="s">
        <v>3633</v>
      </c>
    </row>
    <row r="309" spans="1:4">
      <c r="A309" s="322" t="str">
        <f>VLOOKUP("黑靈魂石", Data!$B:$D,F1, FALSE)</f>
        <v>黑暗灵魂石</v>
      </c>
      <c r="B309" s="884"/>
      <c r="C309" s="217" t="str">
        <f>VLOOKUP("攻城破壞獸", Data!$B:$D,F1, FALSE)&amp;"（3-6-1）"</f>
        <v>攻城兽（3-6-1）</v>
      </c>
      <c r="D309" s="219" t="s">
        <v>3634</v>
      </c>
    </row>
    <row r="310" spans="1:4">
      <c r="A310" s="323" t="str">
        <f>VLOOKUP("米瑞姆早知道的事", Data!$B:$D,F1, FALSE)</f>
        <v>米丽安早就知道的事</v>
      </c>
      <c r="B310" s="887" t="s">
        <v>3609</v>
      </c>
      <c r="C310" s="278" t="str">
        <f>VLOOKUP("至高天的隕落", Data!$B:$D,F1, FALSE)&amp;"（4-1-1）"</f>
        <v>高阶天堂的陨落（4-1-1）</v>
      </c>
      <c r="D310" s="314" t="s">
        <v>3637</v>
      </c>
    </row>
    <row r="311" spans="1:4">
      <c r="A311" s="323" t="str">
        <f>VLOOKUP("受困的大天使", Data!$B:$D,F1, FALSE)</f>
        <v>被俘的大天使</v>
      </c>
      <c r="B311" s="888"/>
      <c r="C311" s="278" t="str">
        <f>VLOOKUP("希望之光", Data!$B:$D,F1, FALSE)&amp;"（4-2-1）"</f>
        <v>希望之光（4-2-1）</v>
      </c>
      <c r="D311" s="314" t="s">
        <v>3635</v>
      </c>
    </row>
    <row r="312" spans="1:4">
      <c r="A312" s="323" t="str">
        <f>VLOOKUP("命運卷軸", Data!$B:$D,F1, FALSE)</f>
        <v>命运卷轴</v>
      </c>
      <c r="B312" s="888"/>
      <c r="C312" s="282" t="str">
        <f>VLOOKUP("希望之光", Data!$B:$D,F1, FALSE)&amp;"（4-2-2）"</f>
        <v>希望之光（4-2-2）</v>
      </c>
      <c r="D312" s="314" t="s">
        <v>3638</v>
      </c>
    </row>
    <row r="313" spans="1:4">
      <c r="A313" s="323" t="str">
        <f>VLOOKUP("凡人與天使", Data!$B:$D,F1, FALSE)</f>
        <v>凡人与天使</v>
      </c>
      <c r="B313" s="889"/>
      <c r="C313" s="282" t="str">
        <f>VLOOKUP("萬惡之源", Data!$B:$D,F1, FALSE)&amp;"（4-4-1）"</f>
        <v>大魔神（4-4-1）</v>
      </c>
      <c r="D313" s="314" t="s">
        <v>3636</v>
      </c>
    </row>
    <row r="314" spans="1:4">
      <c r="A314" s="324" t="str">
        <f>VLOOKUP("谈谈你自己", Data!$B:$D,F1, FALSE)</f>
        <v>认识米丽安</v>
      </c>
      <c r="B314" s="290" t="s">
        <v>3627</v>
      </c>
      <c r="C314" s="291" t="s">
        <v>3628</v>
      </c>
      <c r="D314" s="315"/>
    </row>
    <row r="315" spans="1:4">
      <c r="A315" s="312" t="str">
        <f>VLOOKUP("更多米瑞姆的事", Data!$B:$D,F1, FALSE)</f>
        <v>了解米丽安</v>
      </c>
      <c r="B315" s="855" t="s">
        <v>3586</v>
      </c>
      <c r="C315" s="283" t="str">
        <f>VLOOKUP("死亡使者", Data!$B:$D,F1, FALSE)&amp;"（5-3-2）"</f>
        <v>死亡使者（5-3-2）</v>
      </c>
      <c r="D315" s="309" t="str">
        <f>"听完“"&amp;VLOOKUP("谈谈你自己", Data!$B:$D,F1, FALSE)&amp;"”后激活"</f>
        <v>听完“认识米丽安”后激活</v>
      </c>
    </row>
    <row r="316" spans="1:4">
      <c r="A316" s="312" t="str">
        <f>VLOOKUP("故事", Data!$B:$D,F1, FALSE)</f>
        <v>故事</v>
      </c>
      <c r="B316" s="856"/>
      <c r="C316" s="283" t="str">
        <f>VLOOKUP("女巫", Data!$B:$D,F1, FALSE)&amp;"（5-4-2）"</f>
        <v>女巫（5-4-2）</v>
      </c>
      <c r="D316" s="309"/>
    </row>
    <row r="317" spans="1:4">
      <c r="A317" s="312" t="str">
        <f>VLOOKUP("厄傑爾的所在", Data!$B:$D,F1, FALSE)</f>
        <v>厄兹尔的下落</v>
      </c>
      <c r="B317" s="856"/>
      <c r="C317" s="283" t="str">
        <f>VLOOKUP("死亡使者", Data!$B:$D,F1, FALSE)&amp;"（5-3-2）"</f>
        <v>死亡使者（5-3-2）</v>
      </c>
      <c r="D317" s="309" t="s">
        <v>3597</v>
      </c>
    </row>
    <row r="318" spans="1:4">
      <c r="A318" s="312" t="str">
        <f>VLOOKUP("尋找愛德莉雅", Data!$B:$D,F1, FALSE)</f>
        <v>寻找艾德莉亚</v>
      </c>
      <c r="B318" s="856"/>
      <c r="C318" s="283" t="str">
        <f>VLOOKUP("女巫", Data!$B:$D,F1, FALSE)&amp;"（5-4-2）"</f>
        <v>女巫（5-4-2）</v>
      </c>
      <c r="D318" s="309" t="s">
        <v>3599</v>
      </c>
    </row>
    <row r="319" spans="1:4">
      <c r="A319" s="312" t="str">
        <f>VLOOKUP("米瑞姆的驚喜", Data!$B:$D,F1, FALSE)</f>
        <v>米丽安的惊喜</v>
      </c>
      <c r="B319" s="856"/>
      <c r="C319" s="861" t="str">
        <f>VLOOKUP("混沌界之門", Data!$B:$D,F1, FALSE)&amp;"（5-5-1）"</f>
        <v>混沌界大门（5-5-1）</v>
      </c>
      <c r="D319" s="858" t="s">
        <v>3601</v>
      </c>
    </row>
    <row r="320" spans="1:4">
      <c r="A320" s="312" t="str">
        <f>VLOOKUP("混沌界", Data!$B:$D,F1, FALSE)</f>
        <v>混沌界</v>
      </c>
      <c r="B320" s="856"/>
      <c r="C320" s="862"/>
      <c r="D320" s="859"/>
    </row>
    <row r="321" spans="1:4" ht="15" thickBot="1">
      <c r="A321" s="313" t="str">
        <f>VLOOKUP("英普瑞斯", Data!$B:$D,F1, FALSE)</f>
        <v>英普瑞斯</v>
      </c>
      <c r="B321" s="857"/>
      <c r="C321" s="310" t="str">
        <f>VLOOKUP("永恆戰場", Data!$B:$D,F1, FALSE)&amp;"（5-6-1）"</f>
        <v>永恒战场（5-6-1）</v>
      </c>
      <c r="D321" s="311" t="s">
        <v>3602</v>
      </c>
    </row>
  </sheetData>
  <mergeCells count="111">
    <mergeCell ref="B4:B7"/>
    <mergeCell ref="B8:B11"/>
    <mergeCell ref="B12:B13"/>
    <mergeCell ref="B16:B18"/>
    <mergeCell ref="B22:B26"/>
    <mergeCell ref="B27:B30"/>
    <mergeCell ref="C228:C229"/>
    <mergeCell ref="D74:D75"/>
    <mergeCell ref="B83:B91"/>
    <mergeCell ref="D64:D65"/>
    <mergeCell ref="B66:B68"/>
    <mergeCell ref="B70:B75"/>
    <mergeCell ref="B59:B60"/>
    <mergeCell ref="B63:B65"/>
    <mergeCell ref="B31:B32"/>
    <mergeCell ref="B35:B36"/>
    <mergeCell ref="B42:B46"/>
    <mergeCell ref="B47:B48"/>
    <mergeCell ref="B49:B52"/>
    <mergeCell ref="B56:B57"/>
    <mergeCell ref="D152:D156"/>
    <mergeCell ref="C154:C155"/>
    <mergeCell ref="C156:C157"/>
    <mergeCell ref="B148:B151"/>
    <mergeCell ref="B142:B144"/>
    <mergeCell ref="B138:B141"/>
    <mergeCell ref="D138:D139"/>
    <mergeCell ref="C81:C83"/>
    <mergeCell ref="B131:B137"/>
    <mergeCell ref="B118:B127"/>
    <mergeCell ref="C118:C121"/>
    <mergeCell ref="D118:D120"/>
    <mergeCell ref="C122:C123"/>
    <mergeCell ref="D122:D126"/>
    <mergeCell ref="C125:C126"/>
    <mergeCell ref="B107:B114"/>
    <mergeCell ref="B95:B97"/>
    <mergeCell ref="B98:B99"/>
    <mergeCell ref="B102:B103"/>
    <mergeCell ref="B104:B105"/>
    <mergeCell ref="C92:C94"/>
    <mergeCell ref="A79:D79"/>
    <mergeCell ref="A116:D116"/>
    <mergeCell ref="A129:D129"/>
    <mergeCell ref="A146:D146"/>
    <mergeCell ref="A178:D178"/>
    <mergeCell ref="B192:B194"/>
    <mergeCell ref="A2:D2"/>
    <mergeCell ref="A20:D20"/>
    <mergeCell ref="A38:D38"/>
    <mergeCell ref="A54:D54"/>
    <mergeCell ref="D169:D171"/>
    <mergeCell ref="D172:D176"/>
    <mergeCell ref="B180:B191"/>
    <mergeCell ref="C181:C184"/>
    <mergeCell ref="D183:D185"/>
    <mergeCell ref="C188:C189"/>
    <mergeCell ref="D188:D191"/>
    <mergeCell ref="C167:C168"/>
    <mergeCell ref="B169:B176"/>
    <mergeCell ref="C169:C171"/>
    <mergeCell ref="C172:C176"/>
    <mergeCell ref="B160:B168"/>
    <mergeCell ref="C160:C164"/>
    <mergeCell ref="B152:B159"/>
    <mergeCell ref="A196:D196"/>
    <mergeCell ref="A213:D213"/>
    <mergeCell ref="A225:D225"/>
    <mergeCell ref="A231:D231"/>
    <mergeCell ref="A241:D241"/>
    <mergeCell ref="D208:D210"/>
    <mergeCell ref="B215:B223"/>
    <mergeCell ref="B227:B229"/>
    <mergeCell ref="B233:B239"/>
    <mergeCell ref="C246:C247"/>
    <mergeCell ref="B243:B248"/>
    <mergeCell ref="C256:C257"/>
    <mergeCell ref="B252:B258"/>
    <mergeCell ref="A250:D250"/>
    <mergeCell ref="A260:D260"/>
    <mergeCell ref="A269:D269"/>
    <mergeCell ref="A280:D280"/>
    <mergeCell ref="B198:B211"/>
    <mergeCell ref="D198:D199"/>
    <mergeCell ref="D202:D207"/>
    <mergeCell ref="C206:C207"/>
    <mergeCell ref="C208:C210"/>
    <mergeCell ref="C49:C50"/>
    <mergeCell ref="C107:C109"/>
    <mergeCell ref="B304:B309"/>
    <mergeCell ref="D304:D305"/>
    <mergeCell ref="B310:B313"/>
    <mergeCell ref="B315:B321"/>
    <mergeCell ref="C319:C320"/>
    <mergeCell ref="D319:D320"/>
    <mergeCell ref="D289:D290"/>
    <mergeCell ref="C293:C294"/>
    <mergeCell ref="C297:C299"/>
    <mergeCell ref="D296:D297"/>
    <mergeCell ref="C300:C301"/>
    <mergeCell ref="C302:C303"/>
    <mergeCell ref="B262:B267"/>
    <mergeCell ref="B271:B278"/>
    <mergeCell ref="C277:C278"/>
    <mergeCell ref="C275:C276"/>
    <mergeCell ref="B282:B288"/>
    <mergeCell ref="B289:B303"/>
    <mergeCell ref="C289:C292"/>
    <mergeCell ref="C237:C239"/>
    <mergeCell ref="C234:C235"/>
    <mergeCell ref="C244:C245"/>
  </mergeCells>
  <phoneticPr fontId="7" type="noConversion"/>
  <dataValidations count="1">
    <dataValidation type="list" allowBlank="1" showInputMessage="1" showErrorMessage="1" sqref="E1" xr:uid="{00000000-0002-0000-1200-000000000000}">
      <formula1>"繁體中文,简体中文"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7"/>
  <sheetViews>
    <sheetView workbookViewId="0">
      <pane ySplit="1" topLeftCell="A2" activePane="bottomLeft" state="frozen"/>
      <selection pane="bottomLeft"/>
    </sheetView>
  </sheetViews>
  <sheetFormatPr defaultColWidth="11" defaultRowHeight="16.5"/>
  <cols>
    <col min="1" max="1" width="11" style="75" customWidth="1"/>
    <col min="2" max="2" width="18.08203125" style="75" customWidth="1"/>
    <col min="3" max="3" width="12.6640625" style="75" customWidth="1"/>
    <col min="4" max="4" width="2.4140625" style="75" customWidth="1"/>
    <col min="5" max="5" width="31.1640625" style="73" customWidth="1"/>
    <col min="6" max="6" width="63.1640625" style="75" customWidth="1"/>
    <col min="7" max="33" width="9" style="75" customWidth="1"/>
    <col min="34" max="16384" width="11" style="75"/>
  </cols>
  <sheetData>
    <row r="1" spans="1:8" ht="17" thickBot="1">
      <c r="A1" s="73" t="s">
        <v>2023</v>
      </c>
      <c r="B1" s="74" t="s">
        <v>2022</v>
      </c>
      <c r="F1" s="76" t="s">
        <v>2021</v>
      </c>
      <c r="G1" s="573" t="s">
        <v>3676</v>
      </c>
      <c r="H1" s="319">
        <f>VLOOKUP(G1,Data!$A:$B,2, FALSE)</f>
        <v>2</v>
      </c>
    </row>
    <row r="2" spans="1:8" ht="23" thickBot="1">
      <c r="A2" s="710" t="str">
        <f>VLOOKUP("獨特收藏 特殊任務 獨一無二的你", Data!$B:$D,H1, FALSE)</f>
        <v>独特藏品 特殊任务 独一无二的你</v>
      </c>
      <c r="B2" s="711"/>
      <c r="C2" s="711"/>
      <c r="D2" s="711"/>
      <c r="E2" s="711"/>
      <c r="F2" s="712"/>
    </row>
    <row r="3" spans="1:8" s="340" customFormat="1" ht="15" customHeight="1" thickBot="1">
      <c r="A3" s="277" t="s">
        <v>3670</v>
      </c>
      <c r="B3" s="339" t="s">
        <v>652</v>
      </c>
      <c r="C3" s="339" t="s">
        <v>3671</v>
      </c>
      <c r="D3" s="695" t="s">
        <v>2574</v>
      </c>
      <c r="E3" s="696"/>
      <c r="F3" s="339" t="s">
        <v>3672</v>
      </c>
    </row>
    <row r="4" spans="1:8">
      <c r="A4" s="713" t="s">
        <v>646</v>
      </c>
      <c r="B4" s="341" t="str">
        <f>VLOOKUP("紅巨岩", Data!$B:$D,H1, FALSE)</f>
        <v>红石</v>
      </c>
      <c r="C4" s="342" t="str">
        <f>VLOOKUP("兇暴蠻牛獸", Data!$B:$D,H1, FALSE)</f>
        <v>蛮牛怪</v>
      </c>
      <c r="D4" s="343" t="s">
        <v>2573</v>
      </c>
      <c r="E4" s="344" t="str">
        <f>VLOOKUP("南部高地", Data!$B:$D,H1, FALSE)</f>
        <v>南方高地</v>
      </c>
      <c r="F4" s="82" t="s">
        <v>690</v>
      </c>
    </row>
    <row r="5" spans="1:8">
      <c r="A5" s="714"/>
      <c r="B5" s="345" t="str">
        <f>VLOOKUP("哈格斯森魔", Data!$B:$D,H1, FALSE)</f>
        <v>拉古斯·格里莫劳</v>
      </c>
      <c r="C5" s="81" t="str">
        <f>VLOOKUP("異屍", Data!$B:$D,H1, FALSE)</f>
        <v>怪诞魔</v>
      </c>
      <c r="D5" s="343" t="s">
        <v>1648</v>
      </c>
      <c r="E5" s="346" t="str">
        <f>VLOOKUP("大教堂第一層", Data!$B:$D,H1, FALSE)</f>
        <v>大教堂一层</v>
      </c>
      <c r="F5" s="347" t="s">
        <v>2031</v>
      </c>
    </row>
    <row r="6" spans="1:8" ht="12.75" customHeight="1">
      <c r="A6" s="714"/>
      <c r="B6" s="345" t="str">
        <f>VLOOKUP("破肚恐屍", Data!$B:$D,H1, FALSE)</f>
        <v>乱疤巨腹</v>
      </c>
      <c r="C6" s="348" t="str">
        <f>VLOOKUP("屍塊收割者", Data!$B:$D,H1, FALSE)</f>
        <v>收割魔</v>
      </c>
      <c r="D6" s="343" t="s">
        <v>1648</v>
      </c>
      <c r="E6" s="346" t="str">
        <f>VLOOKUP("大教堂第四層", Data!$B:$D,H1, FALSE)</f>
        <v>大教堂四层</v>
      </c>
      <c r="F6" s="347"/>
    </row>
    <row r="7" spans="1:8">
      <c r="A7" s="714"/>
      <c r="B7" s="345" t="str">
        <f>VLOOKUP("催火狂魔", Data!$B:$D,H1, FALSE)</f>
        <v>召火天鬼</v>
      </c>
      <c r="C7" s="348" t="str">
        <f>VLOOKUP("食腐蝙蝠", Data!$B:$D,H1, FALSE)</f>
        <v>食腐蝙蝠</v>
      </c>
      <c r="D7" s="343" t="s">
        <v>1648</v>
      </c>
      <c r="E7" s="346" t="str">
        <f>VLOOKUP("大教堂第二層", Data!$B:$D,H1, FALSE)</f>
        <v>大教堂二层</v>
      </c>
      <c r="F7" s="347"/>
    </row>
    <row r="8" spans="1:8">
      <c r="A8" s="714"/>
      <c r="B8" s="345" t="str">
        <f>VLOOKUP("費可拉爾的鬼魂", Data!$B:$D,H1, FALSE)</f>
        <v>费克拉的鬼魂</v>
      </c>
      <c r="C8" s="348" t="str">
        <f>VLOOKUP("狂怒幽靈", Data!$B:$D,H1, FALSE)</f>
        <v>激怒的厉魂</v>
      </c>
      <c r="D8" s="343" t="s">
        <v>1648</v>
      </c>
      <c r="E8" s="346" t="str">
        <f>VLOOKUP("腐潰之林", Data!$B:$D,H1, FALSE)</f>
        <v>烂木林</v>
      </c>
      <c r="F8" s="347"/>
    </row>
    <row r="9" spans="1:8">
      <c r="A9" s="714"/>
      <c r="B9" s="345" t="str">
        <f>VLOOKUP("戰士婁格魯克", Data!$B:$D,H1, FALSE)</f>
        <v>战士罗格鲁特</v>
      </c>
      <c r="C9" s="348" t="str">
        <f>VLOOKUP("暗月族戰士", Data!$B:$D,H1, FALSE)</f>
        <v>暗月部族战士</v>
      </c>
      <c r="D9" s="343" t="s">
        <v>1648</v>
      </c>
      <c r="E9" s="346" t="str">
        <f>VLOOKUP("高地路口", Data!$B:$D,H1, FALSE)</f>
        <v>高地路口</v>
      </c>
      <c r="F9" s="347" t="s">
        <v>6829</v>
      </c>
    </row>
    <row r="10" spans="1:8">
      <c r="A10" s="714"/>
      <c r="B10" s="345" t="str">
        <f>VLOOKUP("強兵駱札克", Data!$B:$D,H1, FALSE)</f>
        <v>强大的罗扎克</v>
      </c>
      <c r="C10" s="348" t="str">
        <f>VLOOKUP("暗月族薩滿", Data!$B:$D,H1, FALSE)</f>
        <v>暗月部族萨满</v>
      </c>
      <c r="D10" s="343" t="s">
        <v>4314</v>
      </c>
      <c r="E10" s="346" t="str">
        <f>VLOOKUP("南部高地", Data!$B:$D,H1, FALSE)</f>
        <v>南方高地</v>
      </c>
      <c r="F10" s="347" t="s">
        <v>6828</v>
      </c>
    </row>
    <row r="11" spans="1:8">
      <c r="A11" s="714"/>
      <c r="B11" s="345" t="str">
        <f>VLOOKUP("德魯利‧布朗", Data!$B:$D,H1, FALSE)</f>
        <v>德卢瑞‧布朗</v>
      </c>
      <c r="C11" s="348" t="str">
        <f>VLOOKUP("殺手亡魂", Data!$B:$D,H1, FALSE)</f>
        <v>恶鬼杀手</v>
      </c>
      <c r="D11" s="343" t="s">
        <v>6527</v>
      </c>
      <c r="E11" s="346" t="str">
        <f>VLOOKUP("荒棄墓園-被褻瀆的墓穴", Data!$B:$D,H1, FALSE)</f>
        <v>荒废的墓地-污秽的墓穴</v>
      </c>
      <c r="F11" s="347" t="s">
        <v>687</v>
      </c>
    </row>
    <row r="12" spans="1:8">
      <c r="A12" s="714"/>
      <c r="B12" s="345" t="str">
        <f>VLOOKUP("墮落的魯休斯", Data!$B:$D,H1, FALSE)</f>
        <v>堕落的鲁修斯</v>
      </c>
      <c r="C12" s="348" t="str">
        <f>VLOOKUP("殺手亡魂", Data!$B:$D,H1, FALSE)</f>
        <v>恶鬼杀手</v>
      </c>
      <c r="D12" s="576"/>
      <c r="E12" s="346" t="str">
        <f>VLOOKUP("荒棄墓園", Data!$B:$D,H1, FALSE)</f>
        <v>荒废的墓地</v>
      </c>
      <c r="F12" s="347" t="s">
        <v>691</v>
      </c>
    </row>
    <row r="13" spans="1:8">
      <c r="A13" s="714"/>
      <c r="B13" s="345" t="str">
        <f>VLOOKUP("疥癬", Data!$B:$D,H1, FALSE)</f>
        <v>癞疥兽</v>
      </c>
      <c r="C13" s="348" t="str">
        <f>VLOOKUP("食腐獸", Data!$B:$D,H1, FALSE)</f>
        <v>食腐魔</v>
      </c>
      <c r="D13" s="343" t="s">
        <v>1648</v>
      </c>
      <c r="E13" s="346" t="str">
        <f>VLOOKUP("悲泣荒原", Data!$B:$D,H1, FALSE)</f>
        <v>哭泣山谷</v>
      </c>
      <c r="F13" s="347" t="s">
        <v>692</v>
      </c>
    </row>
    <row r="14" spans="1:8">
      <c r="A14" s="714"/>
      <c r="B14" s="345" t="str">
        <f>VLOOKUP("恐爪躍行魔", Data!$B:$D,H1, FALSE)</f>
        <v>恐爪‧跃行者</v>
      </c>
      <c r="C14" s="348" t="str">
        <f>VLOOKUP("穴居躍行魔", Data!$B:$D,H1, FALSE)</f>
        <v>掘地跃行魔</v>
      </c>
      <c r="D14" s="343" t="s">
        <v>1648</v>
      </c>
      <c r="E14" s="346" t="str">
        <f>VLOOKUP("悲慘之原", Data!$B:$D,H1, FALSE)</f>
        <v>苦难旷野</v>
      </c>
      <c r="F14" s="347" t="s">
        <v>693</v>
      </c>
    </row>
    <row r="15" spans="1:8">
      <c r="A15" s="714"/>
      <c r="B15" s="345" t="str">
        <f>VLOOKUP("凱吉隊長", Data!$B:$D,H1, FALSE)</f>
        <v>卡奇队长</v>
      </c>
      <c r="C15" s="348" t="str">
        <f>VLOOKUP("骷髏圓盾兵", Data!$B:$D,H1, FALSE)</f>
        <v>骷髅持盾者</v>
      </c>
      <c r="D15" s="343" t="s">
        <v>1648</v>
      </c>
      <c r="E15" s="346" t="str">
        <f>VLOOKUP("大教堂第四層", Data!$B:$D,H1, FALSE)</f>
        <v>大教堂四层</v>
      </c>
      <c r="F15" s="347"/>
    </row>
    <row r="16" spans="1:8">
      <c r="A16" s="714"/>
      <c r="B16" s="345" t="str">
        <f>VLOOKUP("梅里恩‧顱棘", Data!$B:$D,H1, FALSE)</f>
        <v>莫瑞姆‧棘颅</v>
      </c>
      <c r="C16" s="348" t="str">
        <f>VLOOKUP("骷髏", Data!$B:$D,H1, FALSE)</f>
        <v>骷髅</v>
      </c>
      <c r="D16" s="343" t="s">
        <v>1648</v>
      </c>
      <c r="E16" s="346" t="str">
        <f>VLOOKUP("大教堂第二層", Data!$B:$D,H1, FALSE)</f>
        <v>大教堂二层</v>
      </c>
      <c r="F16" s="347"/>
    </row>
    <row r="17" spans="1:6">
      <c r="A17" s="714"/>
      <c r="B17" s="345" t="str">
        <f>VLOOKUP("劇毒的杰洛伯", Data!$B:$D,H1, FALSE)</f>
        <v>剧毒的蛰洛比</v>
      </c>
      <c r="C17" s="348" t="str">
        <f>VLOOKUP("恐蛛", Data!$B:$D,H1, FALSE)</f>
        <v>恐蛛</v>
      </c>
      <c r="D17" s="343" t="s">
        <v>1648</v>
      </c>
      <c r="E17" s="346" t="str">
        <f>VLOOKUP("艾瑞妮洞窟", Data!$B:$D,H1, FALSE)</f>
        <v>蛛后洞窟</v>
      </c>
      <c r="F17" s="347" t="s">
        <v>694</v>
      </c>
    </row>
    <row r="18" spans="1:6">
      <c r="A18" s="714"/>
      <c r="B18" s="345" t="str">
        <f>VLOOKUP("毒寡婦萊斯琳", Data!$B:$D,H1, FALSE)</f>
        <v>拉斯林‧寡妇制造者</v>
      </c>
      <c r="C18" s="348" t="str">
        <f>VLOOKUP("劇毒潛伏者", Data!$B:$D,H1, FALSE)</f>
        <v>剧毒潜伏者</v>
      </c>
      <c r="D18" s="343" t="s">
        <v>1648</v>
      </c>
      <c r="E18" s="346" t="str">
        <f>VLOOKUP("艾瑞妮洞窟", Data!$B:$D,H1, FALSE)</f>
        <v>蛛后洞窟</v>
      </c>
      <c r="F18" s="347" t="s">
        <v>33</v>
      </c>
    </row>
    <row r="19" spans="1:6">
      <c r="A19" s="714"/>
      <c r="B19" s="345" t="str">
        <f>VLOOKUP("咒謾者酷瑞許", Data!$B:$D,H1, FALSE)</f>
        <v>库拉什‧被唾弃者</v>
      </c>
      <c r="C19" s="348" t="str">
        <f>VLOOKUP("劇毒潛伏者", Data!$B:$D,H1, FALSE)</f>
        <v>剧毒潜伏者</v>
      </c>
      <c r="D19" s="343" t="s">
        <v>1648</v>
      </c>
      <c r="E19" s="346" t="str">
        <f>VLOOKUP("艾瑞妮洞窟", Data!$B:$D,H1, FALSE)</f>
        <v>蛛后洞窟</v>
      </c>
      <c r="F19" s="347" t="s">
        <v>33</v>
      </c>
    </row>
    <row r="20" spans="1:6">
      <c r="A20" s="714"/>
      <c r="B20" s="345" t="str">
        <f>VLOOKUP("毒齧", Data!$B:$D,H1, FALSE)</f>
        <v>毒液虫</v>
      </c>
      <c r="C20" s="348" t="str">
        <f>VLOOKUP("小蜘蛛", Data!$B:$D,H1, FALSE)</f>
        <v>小蜘蛛</v>
      </c>
      <c r="D20" s="343" t="s">
        <v>1648</v>
      </c>
      <c r="E20" s="346" t="str">
        <f>VLOOKUP("艾瑞妮洞窟", Data!$B:$D,H1, FALSE)</f>
        <v>蛛后洞窟</v>
      </c>
      <c r="F20" s="347" t="s">
        <v>33</v>
      </c>
    </row>
    <row r="21" spans="1:6">
      <c r="A21" s="714"/>
      <c r="B21" s="345" t="str">
        <f>VLOOKUP("兇邪的沙瑞菈", Data!$B:$D,H1, FALSE)</f>
        <v>邪恶的萨瑞拉</v>
      </c>
      <c r="C21" s="348" t="str">
        <f>VLOOKUP("黑暗教徒", Data!$B:$D,H1, FALSE)</f>
        <v>黑暗邪教徒</v>
      </c>
      <c r="D21" s="343"/>
      <c r="E21" s="346" t="str">
        <f>VLOOKUP("李奧瑞克宅邸前庭", Data!$B:$D,H1, FALSE)</f>
        <v>李奧瑞克庄园庭院</v>
      </c>
      <c r="F21" s="347"/>
    </row>
    <row r="22" spans="1:6">
      <c r="A22" s="714"/>
      <c r="B22" s="345" t="str">
        <f>VLOOKUP("喚魔師吉列伯", Data!$B:$D,H1, FALSE)</f>
        <v>唤魔师杰泽布</v>
      </c>
      <c r="C22" s="348" t="str">
        <f>VLOOKUP("黑暗召喚師", Data!$B:$D,H1, FALSE)</f>
        <v>黑暗召唤师</v>
      </c>
      <c r="D22" s="343" t="s">
        <v>1648</v>
      </c>
      <c r="E22" s="346" t="str">
        <f>VLOOKUP("李奧瑞克宅邸", Data!$B:$D,H1, FALSE)</f>
        <v>李奧瑞克庄园</v>
      </c>
      <c r="F22" s="347"/>
    </row>
    <row r="23" spans="1:6">
      <c r="A23" s="714"/>
      <c r="B23" s="345" t="str">
        <f>VLOOKUP("康爵朗", Data!$B:$D,H1, FALSE)</f>
        <v>大棒刚臂</v>
      </c>
      <c r="C23" s="348" t="str">
        <f>VLOOKUP("屍魔", Data!$B:$D,H1, FALSE)</f>
        <v>无棺尸魔</v>
      </c>
      <c r="D23" s="343" t="s">
        <v>1648</v>
      </c>
      <c r="E23" s="346" t="str">
        <f>VLOOKUP("大教堂第二層", Data!$B:$D,H1, FALSE)</f>
        <v>大教堂二层</v>
      </c>
      <c r="F23" s="347"/>
    </row>
    <row r="24" spans="1:6" ht="17" thickBot="1">
      <c r="A24" s="715"/>
      <c r="B24" s="349" t="str">
        <f>VLOOKUP("埃班奈澤‧山謬", Data!$B:$D,H1, FALSE)</f>
        <v>埃比尼泽‧撒母耳</v>
      </c>
      <c r="C24" s="350" t="str">
        <f>VLOOKUP("復生死屍", Data!$B:$D,H1, FALSE)</f>
        <v>活死人</v>
      </c>
      <c r="D24" s="351"/>
      <c r="E24" s="351" t="str">
        <f>VLOOKUP("舊鎮道路", Data!$B:$D,H1, FALSE)</f>
        <v>旧崔斯特姆小道</v>
      </c>
      <c r="F24" s="352" t="s">
        <v>695</v>
      </c>
    </row>
    <row r="25" spans="1:6">
      <c r="A25" s="716" t="s">
        <v>647</v>
      </c>
      <c r="B25" s="353" t="str">
        <f>VLOOKUP("血羽", Data!$B:$D,H1, FALSE)</f>
        <v>血羽</v>
      </c>
      <c r="C25" s="354" t="str">
        <f>VLOOKUP("沙漠猛禽", Data!$B:$D,H1, FALSE)</f>
        <v>沙漠猛禽</v>
      </c>
      <c r="D25" s="355" t="s">
        <v>1648</v>
      </c>
      <c r="E25" s="356" t="str">
        <f>VLOOKUP("淒涼沙地", Data!$B:$D,H1, FALSE)</f>
        <v>凄凉沙漠</v>
      </c>
      <c r="F25" s="357" t="s">
        <v>696</v>
      </c>
    </row>
    <row r="26" spans="1:6">
      <c r="A26" s="717"/>
      <c r="B26" s="358" t="str">
        <f>VLOOKUP("托爾撒", Data!$B:$D,H1, FALSE)</f>
        <v>托沙尔</v>
      </c>
      <c r="C26" s="359" t="str">
        <f>VLOOKUP("沙丘刃妖", Data!$B:$D,H1, FALSE)</f>
        <v>沙丘魔煞</v>
      </c>
      <c r="D26" s="360" t="s">
        <v>1648</v>
      </c>
      <c r="E26" s="360" t="str">
        <f>VLOOKUP("達厄古綠洲", Data!$B:$D,H1, FALSE)</f>
        <v>达尔格绿洲</v>
      </c>
      <c r="F26" s="361"/>
    </row>
    <row r="27" spans="1:6">
      <c r="A27" s="717"/>
      <c r="B27" s="358" t="str">
        <f>VLOOKUP("瘋子加特", Data!$B:$D,H1, FALSE)</f>
        <v>疯子加特</v>
      </c>
      <c r="C27" s="359" t="str">
        <f>VLOOKUP("沉淪魔督軍", Data!$B:$D,H1, FALSE)</f>
        <v>堕落监工</v>
      </c>
      <c r="D27" s="360" t="s">
        <v>1648</v>
      </c>
      <c r="E27" s="360" t="str">
        <f>VLOOKUP("嚎泣高原", Data!$B:$D,H1, FALSE)</f>
        <v>凄风苔原</v>
      </c>
      <c r="F27" s="361" t="s">
        <v>697</v>
      </c>
    </row>
    <row r="28" spans="1:6">
      <c r="A28" s="717"/>
      <c r="B28" s="358" t="str">
        <f>VLOOKUP("阿胥克", Data!$B:$D,H1, FALSE)</f>
        <v>阿什克</v>
      </c>
      <c r="C28" s="359" t="str">
        <f>VLOOKUP("沉淪魔", Data!$B:$D,H1, FALSE)</f>
        <v>堕落者</v>
      </c>
      <c r="D28" s="360" t="s">
        <v>1648</v>
      </c>
      <c r="E28" s="360" t="str">
        <f>VLOOKUP("黑谷礦坑", Data!$B:$D,H1, FALSE)</f>
        <v>崖山矿场</v>
      </c>
      <c r="F28" s="361"/>
    </row>
    <row r="29" spans="1:6">
      <c r="A29" s="717"/>
      <c r="B29" s="358" t="str">
        <f>VLOOKUP("畢亞特", Data!$B:$D,H1, FALSE)</f>
        <v>比亚特</v>
      </c>
      <c r="C29" s="359" t="str">
        <f>VLOOKUP("沉淪魔薩滿", Data!$B:$D,H1, FALSE)</f>
        <v>堕落萨满</v>
      </c>
      <c r="D29" s="360"/>
      <c r="E29" s="360" t="str">
        <f>VLOOKUP("刺風沙漠", Data!$B:$D,H1, FALSE)</f>
        <v>烈风之地</v>
      </c>
      <c r="F29" s="361" t="s">
        <v>32</v>
      </c>
    </row>
    <row r="30" spans="1:6">
      <c r="A30" s="717"/>
      <c r="B30" s="358" t="str">
        <f>VLOOKUP("詛咒者奧茲", Data!$B:$D,H1, FALSE)</f>
        <v>被诅咒的奥特兹</v>
      </c>
      <c r="C30" s="359" t="str">
        <f>VLOOKUP("咒虐者", Data!$B:$D,H1, FALSE)</f>
        <v>被诅咒者</v>
      </c>
      <c r="D30" s="360" t="s">
        <v>1648</v>
      </c>
      <c r="E30" s="360" t="str">
        <f>VLOOKUP("西側水道", Data!$B:$D,H1, FALSE)</f>
        <v>西部水渠</v>
      </c>
      <c r="F30" s="361"/>
    </row>
    <row r="31" spans="1:6">
      <c r="A31" s="717"/>
      <c r="B31" s="358" t="str">
        <f>VLOOKUP("地獄吼", Data!$B:$D,H1, FALSE)</f>
        <v>地狱尖啸者</v>
      </c>
      <c r="C31" s="359" t="str">
        <f>VLOOKUP("兇殘妖蝠", Data!$B:$D,H1, FALSE)</f>
        <v>凶残的飞鸟</v>
      </c>
      <c r="D31" s="360" t="s">
        <v>1648</v>
      </c>
      <c r="E31" s="360" t="str">
        <f>VLOOKUP("佐敦庫勒秘庫-未知深境", Data!$B:$D,H1, FALSE)</f>
        <v>佐敦·库勒藏书馆-无底深渊</v>
      </c>
      <c r="F31" s="361" t="s">
        <v>698</v>
      </c>
    </row>
    <row r="32" spans="1:6">
      <c r="A32" s="717"/>
      <c r="B32" s="358" t="str">
        <f>VLOOKUP("秘庫管理員", Data!$B:$D,H1, FALSE)</f>
        <v>档案保管员</v>
      </c>
      <c r="C32" s="359" t="str">
        <f>VLOOKUP("陰森亡靈", Data!$B:$D,H1, FALSE)</f>
        <v>厉鬼</v>
      </c>
      <c r="D32" s="360" t="s">
        <v>1648</v>
      </c>
      <c r="E32" s="360" t="str">
        <f>VLOOKUP("佐敦庫勒秘庫-未知深境", Data!$B:$D,H1, FALSE)</f>
        <v>佐敦·库勒藏书馆-无底深渊</v>
      </c>
      <c r="F32" s="361" t="str">
        <f>VLOOKUP("佐敦庫勒秘庫-風暴長廊", Data!$B:$D,H1, FALSE)&amp;"也会出现"</f>
        <v>佐敦·库勒藏书馆-风暴殿堂也会出现</v>
      </c>
    </row>
    <row r="33" spans="1:6">
      <c r="A33" s="717"/>
      <c r="B33" s="358" t="str">
        <f>VLOOKUP("狂刀手煞哈", Data!$B:$D,H1, FALSE)</f>
        <v>萨哈‧鞭笞者</v>
      </c>
      <c r="C33" s="359" t="str">
        <f>VLOOKUP("拉库尼女獵手", Data!$B:$D,H1, FALSE)</f>
        <v>豹人女猎手</v>
      </c>
      <c r="D33" s="360" t="s">
        <v>1648</v>
      </c>
      <c r="E33" s="360" t="str">
        <f>VLOOKUP("嚎泣高原", Data!$B:$D,H1, FALSE)</f>
        <v>凄风苔原</v>
      </c>
      <c r="F33" s="361" t="s">
        <v>700</v>
      </c>
    </row>
    <row r="34" spans="1:6">
      <c r="A34" s="717"/>
      <c r="B34" s="358" t="str">
        <f>VLOOKUP("惡毒的雷哈", Data!$B:$D,H1, FALSE)</f>
        <v>凶恶的莱哈</v>
      </c>
      <c r="C34" s="359" t="str">
        <f>VLOOKUP("拉庫尼潛伏者", Data!$B:$D,H1, FALSE)</f>
        <v>豹人追踪者</v>
      </c>
      <c r="D34" s="360" t="s">
        <v>1648</v>
      </c>
      <c r="E34" s="360" t="str">
        <f>VLOOKUP("淒涼沙地", Data!$B:$D,H1, FALSE)</f>
        <v>凄凉沙漠</v>
      </c>
      <c r="F34" s="363" t="s">
        <v>6844</v>
      </c>
    </row>
    <row r="35" spans="1:6">
      <c r="A35" s="717"/>
      <c r="B35" s="358" t="str">
        <f>VLOOKUP("魔嬰布拉格", Data!$B:$D,H1, FALSE)</f>
        <v>顽魔布拉戈</v>
      </c>
      <c r="C35" s="359" t="str">
        <f>VLOOKUP("乾化魔嬰", Data!$B:$D,H1, FALSE)</f>
        <v>干瘪的顽魔</v>
      </c>
      <c r="D35" s="360" t="s">
        <v>1648</v>
      </c>
      <c r="E35" s="360" t="str">
        <f>VLOOKUP("淒涼沙地", Data!$B:$D,H1, FALSE)</f>
        <v>凄凉沙漠</v>
      </c>
      <c r="F35" s="361" t="s">
        <v>701</v>
      </c>
    </row>
    <row r="36" spans="1:6">
      <c r="A36" s="717"/>
      <c r="B36" s="358" t="str">
        <f>VLOOKUP("瑟恩", Data!$B:$D,H1, FALSE)</f>
        <v>苏姆</v>
      </c>
      <c r="C36" s="359" t="str">
        <f>VLOOKUP("沙岩巨像", Data!$B:$D,H1, FALSE)</f>
        <v>沙漠巨兽</v>
      </c>
      <c r="D36" s="360" t="s">
        <v>1648</v>
      </c>
      <c r="E36" s="360" t="str">
        <f>VLOOKUP("佐敦庫勒秘庫-暗影之境", Data!$B:$D,H1, FALSE)</f>
        <v>佐敦·库勒藏书馆-暗影领域</v>
      </c>
      <c r="F36" s="361" t="s">
        <v>702</v>
      </c>
    </row>
    <row r="37" spans="1:6">
      <c r="A37" s="717"/>
      <c r="B37" s="358" t="str">
        <f>VLOOKUP("剃刃嘴", Data!$B:$D,H1, FALSE)</f>
        <v>利刃巨口</v>
      </c>
      <c r="C37" s="359" t="str">
        <f>VLOOKUP("沙丘巨尾蜥", Data!$B:$D,H1, FALSE)</f>
        <v>沙丘长尾蜥</v>
      </c>
      <c r="D37" s="360" t="s">
        <v>1648</v>
      </c>
      <c r="E37" s="360" t="str">
        <f>VLOOKUP("黑谷礦坑", Data!$B:$D,H1, FALSE)</f>
        <v>崖山矿场</v>
      </c>
      <c r="F37" s="361" t="s">
        <v>703</v>
      </c>
    </row>
    <row r="38" spans="1:6">
      <c r="A38" s="717"/>
      <c r="B38" s="358" t="str">
        <f>VLOOKUP("大法師司寇馬拉", Data!$B:$D,H1, FALSE)</f>
        <v>法圣思科马拉</v>
      </c>
      <c r="C38" s="359" t="str">
        <f>VLOOKUP("凍寒傀儡", Data!$B:$D,H1, FALSE)</f>
        <v>寒霜构造体</v>
      </c>
      <c r="D38" s="360" t="s">
        <v>1648</v>
      </c>
      <c r="E38" s="360" t="str">
        <f>VLOOKUP("佐敦庫勒秘庫-風暴長廊", Data!$B:$D,H1, FALSE)</f>
        <v>佐敦·库勒藏书馆-风暴殿堂</v>
      </c>
      <c r="F38" s="361" t="s">
        <v>704</v>
      </c>
    </row>
    <row r="39" spans="1:6">
      <c r="A39" s="717"/>
      <c r="B39" s="358" t="str">
        <f>VLOOKUP("大法師古揚", Data!$B:$D,H1, FALSE)</f>
        <v>法圣圭亚恩</v>
      </c>
      <c r="C39" s="359" t="str">
        <f>VLOOKUP("悶燃傀儡", Data!$B:$D,H1, FALSE)</f>
        <v>熔火构造体</v>
      </c>
      <c r="D39" s="360" t="s">
        <v>1648</v>
      </c>
      <c r="E39" s="360" t="str">
        <f>VLOOKUP("佐敦庫勒秘庫-風暴長廊", Data!$B:$D,H1, FALSE)</f>
        <v>佐敦·库勒藏书馆-风暴殿堂</v>
      </c>
      <c r="F39" s="361" t="s">
        <v>34</v>
      </c>
    </row>
    <row r="40" spans="1:6">
      <c r="A40" s="717"/>
      <c r="B40" s="358" t="str">
        <f>VLOOKUP("大法師弗萊德雷", Data!$B:$D,H1, FALSE)</f>
        <v>法圣弗雷德恩</v>
      </c>
      <c r="C40" s="359" t="str">
        <f>VLOOKUP("電能傀儡", Data!$B:$D,H1, FALSE)</f>
        <v>电荷构造体</v>
      </c>
      <c r="D40" s="360" t="s">
        <v>1648</v>
      </c>
      <c r="E40" s="360" t="str">
        <f>VLOOKUP("佐敦庫勒秘庫-風暴長廊", Data!$B:$D,H1, FALSE)</f>
        <v>佐敦·库勒藏书馆-风暴殿堂</v>
      </c>
      <c r="F40" s="361" t="s">
        <v>34</v>
      </c>
    </row>
    <row r="41" spans="1:6">
      <c r="A41" s="717"/>
      <c r="B41" s="358" t="str">
        <f>VLOOKUP("大法師寇司塔斯", Data!$B:$D,H1, FALSE)</f>
        <v>法圣考斯图斯</v>
      </c>
      <c r="C41" s="359" t="str">
        <f>VLOOKUP("劇毒傀儡", Data!$B:$D,H1, FALSE)</f>
        <v>剧毒构造体</v>
      </c>
      <c r="D41" s="360" t="s">
        <v>1648</v>
      </c>
      <c r="E41" s="360" t="str">
        <f>VLOOKUP("佐敦庫勒秘庫-風暴長廊", Data!$B:$D,H1, FALSE)</f>
        <v>佐敦·库勒藏书馆-风暴殿堂</v>
      </c>
      <c r="F41" s="361" t="s">
        <v>34</v>
      </c>
    </row>
    <row r="42" spans="1:6">
      <c r="A42" s="717"/>
      <c r="B42" s="358" t="str">
        <f>VLOOKUP("毒蛇哈佐", Data!$B:$D,H1, FALSE)</f>
        <v>毒蛇哈兹尔</v>
      </c>
      <c r="C42" s="359" t="str">
        <f>VLOOKUP("盤蛇法師", Data!$B:$D,H1, FALSE)</f>
        <v>蛇身法师</v>
      </c>
      <c r="D42" s="360"/>
      <c r="E42" s="360" t="str">
        <f>VLOOKUP("卡爾蒂姆下水道", Data!$B:$D,H1, FALSE)</f>
        <v>卡尔蒂姆下水道</v>
      </c>
      <c r="F42" s="361" t="s">
        <v>705</v>
      </c>
    </row>
    <row r="43" spans="1:6">
      <c r="A43" s="717"/>
      <c r="B43" s="358" t="str">
        <f>VLOOKUP("亞卡拉", Data!$B:$D,H1, FALSE)</f>
        <v>亚卡拉</v>
      </c>
      <c r="C43" s="359" t="str">
        <f>VLOOKUP("盤蛇魅影怪", Data!$B:$D,H1, FALSE)</f>
        <v>盘蛇欺诈者</v>
      </c>
      <c r="D43" s="360" t="s">
        <v>1648</v>
      </c>
      <c r="E43" s="360" t="str">
        <f>VLOOKUP("東側水道", Data!$B:$D,H1, FALSE)</f>
        <v>东部水渠</v>
      </c>
      <c r="F43" s="361"/>
    </row>
    <row r="44" spans="1:6">
      <c r="A44" s="717"/>
      <c r="B44" s="358" t="str">
        <f>VLOOKUP("死螯蟲群", Data!$B:$D,H1, FALSE)</f>
        <v>死亡针群</v>
      </c>
      <c r="C44" s="359" t="str">
        <f>VLOOKUP("兇邪蟲群", Data!$B:$D,H1, FALSE)</f>
        <v>虫群</v>
      </c>
      <c r="D44" s="360" t="s">
        <v>1648</v>
      </c>
      <c r="E44" s="362" t="str">
        <f>VLOOKUP("西側水道", Data!$B:$D,H1, FALSE)</f>
        <v>西部水渠</v>
      </c>
      <c r="F44" s="363" t="s">
        <v>6843</v>
      </c>
    </row>
    <row r="45" spans="1:6">
      <c r="A45" s="717"/>
      <c r="B45" s="358" t="str">
        <f>VLOOKUP("狂戰士夏馬", Data!$B:$D,H1, FALSE)</f>
        <v>狠砸怪</v>
      </c>
      <c r="C45" s="359" t="str">
        <f>VLOOKUP("兇魔撕裂者", Data!$B:$D,H1, FALSE)</f>
        <v>凶狠的残杀者</v>
      </c>
      <c r="D45" s="360" t="s">
        <v>1648</v>
      </c>
      <c r="E45" s="360" t="str">
        <f>VLOOKUP("奧卡納斯", Data!$B:$D,H1, FALSE)</f>
        <v>阿尔卡纳斯</v>
      </c>
      <c r="F45" s="361" t="s">
        <v>688</v>
      </c>
    </row>
    <row r="46" spans="1:6">
      <c r="A46" s="717"/>
      <c r="B46" s="358" t="str">
        <f>VLOOKUP("葉什", Data!$B:$D,H1, FALSE)</f>
        <v>耶特</v>
      </c>
      <c r="C46" s="359" t="str">
        <f>VLOOKUP("狂暴魔狼", Data!$B:$D,H1, FALSE)</f>
        <v>狂乱地狱犬</v>
      </c>
      <c r="D46" s="360" t="s">
        <v>1648</v>
      </c>
      <c r="E46" s="360" t="str">
        <f>VLOOKUP("奧卡納斯之路", Data!$B:$D,H1, FALSE)</f>
        <v>阿尔卡纳斯之路</v>
      </c>
      <c r="F46" s="361" t="s">
        <v>706</v>
      </c>
    </row>
    <row r="47" spans="1:6">
      <c r="A47" s="717"/>
      <c r="B47" s="358" t="str">
        <f>VLOOKUP("大祭司穆朵斯", Data!$B:$D,H1, FALSE)</f>
        <v>高阶邪教徒墨杜斯</v>
      </c>
      <c r="C47" s="359" t="str">
        <f>VLOOKUP("精神錯亂的教徒", Data!$B:$D,H1, FALSE)</f>
        <v>发狂的邪教徒</v>
      </c>
      <c r="D47" s="360" t="s">
        <v>1648</v>
      </c>
      <c r="E47" s="360" t="str">
        <f>VLOOKUP("奧卡納斯", Data!$B:$D,H1, FALSE)</f>
        <v>阿尔卡纳斯</v>
      </c>
      <c r="F47" s="361" t="s">
        <v>688</v>
      </c>
    </row>
    <row r="48" spans="1:6" ht="17" thickBot="1">
      <c r="A48" s="718"/>
      <c r="B48" s="364" t="str">
        <f>VLOOKUP("祈求者尚達爾", Data!$B:$D,H1, FALSE)</f>
        <v>唤魔师尚达尔</v>
      </c>
      <c r="C48" s="365" t="str">
        <f>VLOOKUP("惡邪喚魔師", Data!$B:$D,H1, FALSE)</f>
        <v>邪恶唤魔者</v>
      </c>
      <c r="D48" s="366" t="s">
        <v>1648</v>
      </c>
      <c r="E48" s="366" t="str">
        <f>VLOOKUP("奧卡納斯", Data!$B:$D,H1, FALSE)</f>
        <v>阿尔卡纳斯</v>
      </c>
      <c r="F48" s="361" t="s">
        <v>688</v>
      </c>
    </row>
    <row r="49" spans="1:6">
      <c r="A49" s="719" t="s">
        <v>648</v>
      </c>
      <c r="B49" s="367" t="str">
        <f>VLOOKUP("哈克斬", Data!$B:$D,H1, FALSE)</f>
        <v>哈克索尔</v>
      </c>
      <c r="C49" s="368" t="str">
        <f>VLOOKUP("兇暴移行獸", Data!$B:$D,H1, FALSE)</f>
        <v>巨型移形兽</v>
      </c>
      <c r="D49" s="369" t="s">
        <v>1648</v>
      </c>
      <c r="E49" s="370" t="str">
        <f>VLOOKUP("譴罪之塔第一層", Data!$B:$D,H1, FALSE)</f>
        <v>天谴者之塔一层</v>
      </c>
      <c r="F49" s="371"/>
    </row>
    <row r="50" spans="1:6">
      <c r="A50" s="720"/>
      <c r="B50" s="372" t="str">
        <f>VLOOKUP("兇斧斷", Data!$B:$D,H1, FALSE)</f>
        <v>狂斩埃克格尔</v>
      </c>
      <c r="C50" s="373" t="str">
        <f>VLOOKUP("兇暴移行獸", Data!$B:$D,H1, FALSE)</f>
        <v>巨型移形兽</v>
      </c>
      <c r="D50" s="374" t="s">
        <v>1648</v>
      </c>
      <c r="E50" s="374" t="str">
        <f>VLOOKUP("亞瑞特地核", Data!$B:$D,H1, FALSE)</f>
        <v>亚瑞特核心</v>
      </c>
      <c r="F50" s="375"/>
    </row>
    <row r="51" spans="1:6">
      <c r="A51" s="720"/>
      <c r="B51" s="372" t="str">
        <f>VLOOKUP("兇暴灰火飢", Data!$B:$D,H1, FALSE)</f>
        <v>恶毒的苍白灰小鬼</v>
      </c>
      <c r="C51" s="373" t="str">
        <f>VLOOKUP("震地魔", Data!$B:$D,H1, FALSE)</f>
        <v>恶魔震地者</v>
      </c>
      <c r="D51" s="374" t="s">
        <v>1648</v>
      </c>
      <c r="E51" s="374" t="str">
        <f>VLOOKUP("要塞下層第三層", Data!$B:$D,H1, FALSE)</f>
        <v>要塞深渊三层</v>
      </c>
      <c r="F51" s="375"/>
    </row>
    <row r="52" spans="1:6">
      <c r="A52" s="720"/>
      <c r="B52" s="372" t="str">
        <f>VLOOKUP("鐵拳古金", Data!$B:$D,H1, FALSE)</f>
        <v>钢手古金</v>
      </c>
      <c r="C52" s="373" t="str">
        <f>VLOOKUP("震地魔", Data!$B:$D,H1, FALSE)</f>
        <v>恶魔震地者</v>
      </c>
      <c r="D52" s="374" t="s">
        <v>1648</v>
      </c>
      <c r="E52" s="374" t="str">
        <f>VLOOKUP("要塞下層第三層", Data!$B:$D,H1, FALSE)</f>
        <v>要塞深渊三层</v>
      </c>
      <c r="F52" s="375"/>
    </row>
    <row r="53" spans="1:6">
      <c r="A53" s="720"/>
      <c r="B53" s="372" t="str">
        <f>VLOOKUP("懼握", Data!$B:$D,H1, FALSE)</f>
        <v>死亡缠须</v>
      </c>
      <c r="C53" s="373" t="str">
        <f>VLOOKUP("瘟疫使者", Data!$B:$D,H1, FALSE)</f>
        <v>疫病传染体</v>
      </c>
      <c r="D53" s="374" t="s">
        <v>1648</v>
      </c>
      <c r="E53" s="374" t="str">
        <f>VLOOKUP("戰場", Data!$B:$D,H1, FALSE)</f>
        <v>战场</v>
      </c>
      <c r="F53" s="375"/>
    </row>
    <row r="54" spans="1:6">
      <c r="A54" s="720"/>
      <c r="B54" s="372" t="str">
        <f>VLOOKUP("馬丘賽斯", Data!$B:$D,H1, FALSE)</f>
        <v>马加锡亚</v>
      </c>
      <c r="C54" s="373" t="str">
        <f>VLOOKUP("魔翼妖蝠", Data!$B:$D,H1, FALSE)</f>
        <v>地狱天鬼</v>
      </c>
      <c r="D54" s="374" t="s">
        <v>1648</v>
      </c>
      <c r="E54" s="374" t="str">
        <f>VLOOKUP("天冠城垛", Data!$B:$D,H1, FALSE)</f>
        <v>天冠城垛</v>
      </c>
      <c r="F54" s="375"/>
    </row>
    <row r="55" spans="1:6">
      <c r="A55" s="720"/>
      <c r="B55" s="372" t="str">
        <f>VLOOKUP("恐爪惡魔妖蝠", Data!$B:$D,H1, FALSE)</f>
        <v>恐爪天鬼</v>
      </c>
      <c r="C55" s="373" t="str">
        <f>VLOOKUP("魔拉克妖蝠", Data!$B:$D,H1, FALSE)</f>
        <v>血祭火鸟</v>
      </c>
      <c r="D55" s="374" t="s">
        <v>1648</v>
      </c>
      <c r="E55" s="374" t="str">
        <f>VLOOKUP("拉基斯路口", Data!$B:$D,H1, FALSE)</f>
        <v>拉基斯之渡</v>
      </c>
      <c r="F55" s="376" t="s">
        <v>2751</v>
      </c>
    </row>
    <row r="56" spans="1:6">
      <c r="A56" s="720"/>
      <c r="B56" s="372" t="str">
        <f>VLOOKUP("強棍打臉", Data!$B:$D,H1, FALSE)</f>
        <v>砸脸重棍</v>
      </c>
      <c r="C56" s="373" t="str">
        <f>VLOOKUP("惡魔突擊兵", Data!$B:$D,H1, FALSE)</f>
        <v>恶魔士兵</v>
      </c>
      <c r="D56" s="374" t="s">
        <v>1648</v>
      </c>
      <c r="E56" s="374" t="str">
        <f>VLOOKUP("石壘", Data!$B:$D,H1, FALSE)</f>
        <v>坚石壁垒</v>
      </c>
      <c r="F56" s="375" t="s">
        <v>707</v>
      </c>
    </row>
    <row r="57" spans="1:6">
      <c r="A57" s="720"/>
      <c r="B57" s="372" t="str">
        <f>VLOOKUP("粉碎者", Data!$B:$D,H1, FALSE)</f>
        <v>粉碎者</v>
      </c>
      <c r="C57" s="373" t="str">
        <f>VLOOKUP("惡魔掠劫者", Data!$B:$D,H1, FALSE)</f>
        <v>恶魔袭击者</v>
      </c>
      <c r="D57" s="374" t="s">
        <v>1648</v>
      </c>
      <c r="E57" s="374" t="str">
        <f>VLOOKUP("要塞下層第二層", Data!$B:$D,H1, FALSE)</f>
        <v>要塞深渊二层</v>
      </c>
      <c r="F57" s="375" t="s">
        <v>708</v>
      </c>
    </row>
    <row r="58" spans="1:6">
      <c r="A58" s="720"/>
      <c r="B58" s="372" t="str">
        <f>VLOOKUP("重拳盧魔克", Data!$B:$D,H1, FALSE)</f>
        <v>残暴的卢默克</v>
      </c>
      <c r="C58" s="373" t="str">
        <f>VLOOKUP("沉淪魔奴隸主", Data!$B:$D,H1, FALSE)</f>
        <v>堕落奴隶主</v>
      </c>
      <c r="D58" s="374" t="s">
        <v>1648</v>
      </c>
      <c r="E58" s="374" t="str">
        <f>VLOOKUP("拉基斯路口", Data!$B:$D,H1, FALSE)</f>
        <v>拉基斯之渡</v>
      </c>
      <c r="F58" s="375"/>
    </row>
    <row r="59" spans="1:6">
      <c r="A59" s="720"/>
      <c r="B59" s="372" t="str">
        <f>VLOOKUP("嘷牙", Data!$B:$D,H1, FALSE)</f>
        <v>嘷牙</v>
      </c>
      <c r="C59" s="373" t="str">
        <f>VLOOKUP("沉淪魔地獄犬", Data!$B:$D,H1, FALSE)</f>
        <v>堕落地狱犬</v>
      </c>
      <c r="D59" s="374" t="s">
        <v>1648</v>
      </c>
      <c r="E59" s="374" t="str">
        <f>VLOOKUP("亞瑞特巨坑第一層", Data!$B:$D,H1, FALSE)</f>
        <v>亚瑞特巨坑一层</v>
      </c>
      <c r="F59" s="375"/>
    </row>
    <row r="60" spans="1:6">
      <c r="A60" s="720"/>
      <c r="B60" s="372" t="str">
        <f>VLOOKUP("魔怪梅沙克", Data!$B:$D,H1, FALSE)</f>
        <v>墨沙克‧天谴之躯</v>
      </c>
      <c r="C60" s="373" t="str">
        <f>VLOOKUP("咒謾者", Data!$B:$D,H1, FALSE)</f>
        <v>被唾弃者</v>
      </c>
      <c r="D60" s="374" t="s">
        <v>1648</v>
      </c>
      <c r="E60" s="374" t="str">
        <f>VLOOKUP("戰場", Data!$B:$D,H1, FALSE)</f>
        <v>战场</v>
      </c>
      <c r="F60" s="375"/>
    </row>
    <row r="61" spans="1:6">
      <c r="A61" s="720"/>
      <c r="B61" s="372" t="str">
        <f>VLOOKUP("苟烈許", Data!$B:$D,H1, FALSE)</f>
        <v>格拉什</v>
      </c>
      <c r="C61" s="373" t="str">
        <f>VLOOKUP("烈火食屍鬼", Data!$B:$D,H1, FALSE)</f>
        <v>炽炎食尸鬼</v>
      </c>
      <c r="D61" s="374" t="s">
        <v>1648</v>
      </c>
      <c r="E61" s="374" t="str">
        <f>VLOOKUP("譴罪之塔第一層", Data!$B:$D,H1, FALSE)</f>
        <v>天谴者之塔一层</v>
      </c>
      <c r="F61" s="375"/>
    </row>
    <row r="62" spans="1:6">
      <c r="A62" s="720"/>
      <c r="B62" s="372" t="str">
        <f>VLOOKUP("邪惡的布拉格", Data!$B:$D,H1, FALSE)</f>
        <v>污秽的布拉格</v>
      </c>
      <c r="C62" s="373" t="str">
        <f>VLOOKUP("血族戰士", Data!$B:$D,H1, FALSE)</f>
        <v>鲜血氏族战士</v>
      </c>
      <c r="D62" s="374"/>
      <c r="E62" s="374" t="str">
        <f>VLOOKUP("科斯克橋", Data!$B:$D,H1, FALSE)</f>
        <v>科尔斯克之桥</v>
      </c>
      <c r="F62" s="375"/>
    </row>
    <row r="63" spans="1:6">
      <c r="A63" s="720"/>
      <c r="B63" s="372" t="str">
        <f>VLOOKUP("畸形的希拉格", Data!$B:$D,H1, FALSE)</f>
        <v>畸形的海鲁格</v>
      </c>
      <c r="C63" s="373" t="str">
        <f>VLOOKUP("血族打擊兵", Data!$B:$D,H1, FALSE)</f>
        <v>鲜血氏族撕裂者</v>
      </c>
      <c r="D63" s="374" t="s">
        <v>1648</v>
      </c>
      <c r="E63" s="374" t="str">
        <f>VLOOKUP("詛咒之塔第一層", Data!$B:$D,H1, FALSE)</f>
        <v>诅咒者之塔一层</v>
      </c>
      <c r="F63" s="376" t="s">
        <v>5248</v>
      </c>
    </row>
    <row r="64" spans="1:6">
      <c r="A64" s="720"/>
      <c r="B64" s="372" t="str">
        <f>VLOOKUP("矛兵手查魯奇", Data!$B:$D,H1, FALSE)</f>
        <v>长枪查鲁克</v>
      </c>
      <c r="C64" s="373" t="str">
        <f>VLOOKUP("血族標槍兵", Data!$B:$D,H1, FALSE)</f>
        <v>鲜血氏族穿心手</v>
      </c>
      <c r="D64" s="374" t="s">
        <v>1648</v>
      </c>
      <c r="E64" s="374" t="str">
        <f>VLOOKUP("亞瑞特巨坑第二層", Data!$B:$D,H1, FALSE)</f>
        <v>亚瑞特巨坑二层</v>
      </c>
      <c r="F64" s="375" t="str">
        <f>VLOOKUP("詛咒之塔第一層", Data!$B:$D,H1, FALSE)&amp;"也会出现"</f>
        <v>诅咒者之塔一层也会出现</v>
      </c>
    </row>
    <row r="65" spans="1:6">
      <c r="A65" s="720"/>
      <c r="B65" s="372" t="str">
        <f>VLOOKUP("單卓拉哈爾", Data!$B:$D,H1, FALSE)</f>
        <v>仙德拉哈</v>
      </c>
      <c r="C65" s="373" t="str">
        <f>VLOOKUP("血族法師", Data!$B:$D,H1, FALSE)</f>
        <v>鲜血氏族巫师</v>
      </c>
      <c r="D65" s="374" t="s">
        <v>1648</v>
      </c>
      <c r="E65" s="374" t="str">
        <f>VLOOKUP("拉基斯路口", Data!$B:$D,H1, FALSE)</f>
        <v>拉基斯之渡</v>
      </c>
      <c r="F65" s="376"/>
    </row>
    <row r="66" spans="1:6">
      <c r="A66" s="720"/>
      <c r="B66" s="372" t="str">
        <f>VLOOKUP("豹女奇塔拉", Data!$B:$D,H1, FALSE)</f>
        <v>琪塔拉</v>
      </c>
      <c r="C66" s="373" t="str">
        <f>VLOOKUP("冬禍女獵手", Data!$B:$D,H1, FALSE)</f>
        <v>霜鬓女猎手</v>
      </c>
      <c r="D66" s="374" t="s">
        <v>6528</v>
      </c>
      <c r="E66" s="374" t="str">
        <f>VLOOKUP("殺戮戰場-寒霜洞窟第二層", Data!$B:$D,H1, FALSE)</f>
        <v>血腥战场-寒冰洞二层</v>
      </c>
      <c r="F66" s="375" t="s">
        <v>709</v>
      </c>
    </row>
    <row r="67" spans="1:6">
      <c r="A67" s="720"/>
      <c r="B67" s="372" t="str">
        <f>VLOOKUP("絕截爪", Data!$B:$D,H1, FALSE)</f>
        <v>裂爪</v>
      </c>
      <c r="C67" s="373" t="str">
        <f>VLOOKUP("痛苦的人蠍", Data!$B:$D,H1, FALSE)</f>
        <v>折磨之刺</v>
      </c>
      <c r="D67" s="374" t="s">
        <v>1648</v>
      </c>
      <c r="E67" s="374" t="str">
        <f>VLOOKUP("亞瑞特巨坑第一層", Data!$B:$D,H1, FALSE)</f>
        <v>亚瑞特巨坑一层</v>
      </c>
      <c r="F67" s="375"/>
    </row>
    <row r="68" spans="1:6">
      <c r="A68" s="720"/>
      <c r="B68" s="372" t="str">
        <f>VLOOKUP("棘背", Data!$B:$D,H1, FALSE)</f>
        <v>棘背兽</v>
      </c>
      <c r="C68" s="373" t="str">
        <f>VLOOKUP("冰刺脊魔", Data!$B:$D,H1, FALSE)</f>
        <v>寒冰刺背兽</v>
      </c>
      <c r="D68" s="374" t="s">
        <v>1648</v>
      </c>
      <c r="E68" s="374" t="str">
        <f>VLOOKUP("要塞下層第一層", Data!$B:$D,H1, FALSE)</f>
        <v>要塞深渊一层</v>
      </c>
      <c r="F68" s="376" t="s">
        <v>5249</v>
      </c>
    </row>
    <row r="69" spans="1:6">
      <c r="A69" s="720"/>
      <c r="B69" s="372" t="str">
        <f>VLOOKUP("戈蒙甘", Data!$B:$D,H1, FALSE)</f>
        <v>尘世之蟒</v>
      </c>
      <c r="C69" s="373" t="str">
        <f>VLOOKUP("魔化蛇蟲", Data!$B:$D,H1, FALSE)</f>
        <v>恶魔蛇妖</v>
      </c>
      <c r="D69" s="374" t="s">
        <v>1648</v>
      </c>
      <c r="E69" s="374" t="str">
        <f>VLOOKUP("亞瑞特巨坑第一層", Data!$B:$D,H1, FALSE)</f>
        <v>亚瑞特巨坑一层</v>
      </c>
      <c r="F69" s="375" t="s">
        <v>710</v>
      </c>
    </row>
    <row r="70" spans="1:6">
      <c r="A70" s="720"/>
      <c r="B70" s="372" t="str">
        <f>VLOOKUP("達列隊長", Data!$B:$D,H1, FALSE)</f>
        <v>戴尔队长</v>
      </c>
      <c r="C70" s="373" t="str">
        <f>VLOOKUP("骷髏掠奪者", Data!$B:$D,H1, FALSE)</f>
        <v>骷髅掠夺者</v>
      </c>
      <c r="D70" s="374" t="s">
        <v>1648</v>
      </c>
      <c r="E70" s="374" t="str">
        <f>VLOOKUP("要塞下層第一層", Data!$B:$D,H1, FALSE)</f>
        <v>要塞深渊一层</v>
      </c>
      <c r="F70" s="375" t="s">
        <v>711</v>
      </c>
    </row>
    <row r="71" spans="1:6">
      <c r="A71" s="720"/>
      <c r="B71" s="372" t="str">
        <f>VLOOKUP("處決者斧斃", Data!$B:$D,H1, FALSE)</f>
        <v>埃克斯格雷‧处决者</v>
      </c>
      <c r="C71" s="373" t="str">
        <f>VLOOKUP("速捷顱骸砍劈者", Data!$B:$D,H1, FALSE)</f>
        <v>迅捷的劈颅手</v>
      </c>
      <c r="D71" s="374" t="s">
        <v>1648</v>
      </c>
      <c r="E71" s="374" t="str">
        <f>VLOOKUP("要塞下層第二層", Data!$B:$D,H1, FALSE)</f>
        <v>要塞深渊二层</v>
      </c>
      <c r="F71" s="375"/>
    </row>
    <row r="72" spans="1:6">
      <c r="A72" s="720"/>
      <c r="B72" s="372" t="str">
        <f>VLOOKUP("穿心箭比拉格", Data!$B:$D,H1, FALSE)</f>
        <v>贝拉戈‧穿肉手</v>
      </c>
      <c r="C72" s="373" t="str">
        <f>VLOOKUP("黑暗骷髏弓手", Data!$B:$D,H1, FALSE)</f>
        <v>黑骷髅弓手</v>
      </c>
      <c r="D72" s="374" t="s">
        <v>1648</v>
      </c>
      <c r="E72" s="374" t="str">
        <f>VLOOKUP("要塞下層第三層", Data!$B:$D,H1, FALSE)</f>
        <v>要塞深渊三层</v>
      </c>
      <c r="F72" s="375"/>
    </row>
    <row r="73" spans="1:6">
      <c r="A73" s="720"/>
      <c r="B73" s="372" t="str">
        <f>VLOOKUP("笞劈", Data!$B:$D,H1, FALSE)</f>
        <v>裂鞭</v>
      </c>
      <c r="C73" s="217" t="str">
        <f>VLOOKUP("撕魂獸", Data!$B:$D,H1, FALSE)</f>
        <v>灵魂撕裂者</v>
      </c>
      <c r="D73" s="374" t="s">
        <v>1648</v>
      </c>
      <c r="E73" s="374" t="str">
        <f>VLOOKUP("譴罪之塔第二層", Data!$B:$D,H1, FALSE)</f>
        <v>天谴者之塔二层</v>
      </c>
      <c r="F73" s="375"/>
    </row>
    <row r="74" spans="1:6">
      <c r="A74" s="720"/>
      <c r="B74" s="372" t="str">
        <f>VLOOKUP("邪惡的迪蒙妮卡", Data!$B:$D,H1, FALSE)</f>
        <v>恶毒的魔妮卡</v>
      </c>
      <c r="C74" s="373" t="str">
        <f>VLOOKUP("魅魔", Data!$B:$D,H1, FALSE)</f>
        <v>魅魔</v>
      </c>
      <c r="D74" s="374" t="s">
        <v>1648</v>
      </c>
      <c r="E74" s="374" t="str">
        <f>VLOOKUP("譴罪之塔第一層", Data!$B:$D,H1, FALSE)</f>
        <v>天谴者之塔一层</v>
      </c>
      <c r="F74" s="375"/>
    </row>
    <row r="75" spans="1:6" ht="17" thickBot="1">
      <c r="A75" s="721"/>
      <c r="B75" s="377" t="str">
        <f>VLOOKUP("巨魔茍羅葛", Data!$B:$D,H1, FALSE)</f>
        <v>好斗的葛洛格</v>
      </c>
      <c r="C75" s="378" t="str">
        <f>VLOOKUP("苟爾勾狂魔", Data!$B:$D,H1, FALSE)</f>
        <v>疯狂的戈尔格</v>
      </c>
      <c r="D75" s="379" t="s">
        <v>1648</v>
      </c>
      <c r="E75" s="380" t="str">
        <f>VLOOKUP("亞瑞特地核", Data!$B:$D,H1, FALSE)</f>
        <v>亚瑞特核心</v>
      </c>
      <c r="F75" s="381"/>
    </row>
    <row r="76" spans="1:6">
      <c r="A76" s="697" t="s">
        <v>649</v>
      </c>
      <c r="B76" s="382" t="str">
        <f>VLOOKUP("受詛者派爾斯", Data!$B:$D,H1, FALSE)</f>
        <v>被诅咒的派尔斯</v>
      </c>
      <c r="C76" s="383" t="str">
        <f>VLOOKUP("腐化的天使", Data!$B:$D,H1, FALSE)</f>
        <v>被腐化的天使</v>
      </c>
      <c r="D76" s="111" t="s">
        <v>1649</v>
      </c>
      <c r="E76" s="384" t="str">
        <f>VLOOKUP("銀光尖塔第一層", Data!$B:$D,H1, FALSE)</f>
        <v>银色高塔一层</v>
      </c>
      <c r="F76" s="385"/>
    </row>
    <row r="77" spans="1:6">
      <c r="A77" s="698"/>
      <c r="B77" s="165" t="str">
        <f>VLOOKUP("炬燃", Data!$B:$D,H1, FALSE)</f>
        <v>燃炬者</v>
      </c>
      <c r="C77" s="114" t="str">
        <f>VLOOKUP("殘虐魔", Data!$B:$D,H1, FALSE)</f>
        <v>施虐者</v>
      </c>
      <c r="D77" s="116" t="s">
        <v>1649</v>
      </c>
      <c r="E77" s="116" t="str">
        <f>VLOOKUP("希望園圃第一階", Data!$B:$D,H1, FALSE)</f>
        <v>希望花园一层</v>
      </c>
      <c r="F77" s="117"/>
    </row>
    <row r="78" spans="1:6">
      <c r="A78" s="698"/>
      <c r="B78" s="165" t="str">
        <f>VLOOKUP("卡騰", Data!$B:$D,H1, FALSE)</f>
        <v>卡图恩</v>
      </c>
      <c r="C78" s="114" t="str">
        <f>VLOOKUP("裝甲破壞魔", Data!$B:$D,H1, FALSE)</f>
        <v>铁甲摧毁者</v>
      </c>
      <c r="D78" s="116" t="s">
        <v>1649</v>
      </c>
      <c r="E78" s="116" t="str">
        <f>VLOOKUP("希望園圃第一階", Data!$B:$D,H1, FALSE)</f>
        <v>希望花园一层</v>
      </c>
      <c r="F78" s="386" t="s">
        <v>5250</v>
      </c>
    </row>
    <row r="79" spans="1:6">
      <c r="A79" s="698"/>
      <c r="B79" s="165" t="str">
        <f>VLOOKUP("[無魂者]殘夜", Data!$B:$D,H1, FALSE)</f>
        <v>无魂恶夜</v>
      </c>
      <c r="C79" s="114" t="str">
        <f>VLOOKUP("被奴役的夢魘", Data!$B:$D,H1, FALSE)</f>
        <v>奴役梦魇</v>
      </c>
      <c r="D79" s="116" t="s">
        <v>1649</v>
      </c>
      <c r="E79" s="116" t="str">
        <f>VLOOKUP("銀光尖塔第二層", Data!$B:$D,H1, FALSE)</f>
        <v>银色高塔二层</v>
      </c>
      <c r="F79" s="117" t="s">
        <v>712</v>
      </c>
    </row>
    <row r="80" spans="1:6">
      <c r="A80" s="698"/>
      <c r="B80" s="165" t="str">
        <f>VLOOKUP("霍瑞斯", Data!$B:$D,H1, FALSE)</f>
        <v>霍雷斯</v>
      </c>
      <c r="C80" s="114" t="str">
        <f>VLOOKUP("被奴役的夢魘", Data!$B:$D,H1, FALSE)</f>
        <v>奴役梦魇</v>
      </c>
      <c r="D80" s="116" t="s">
        <v>1649</v>
      </c>
      <c r="E80" s="116" t="str">
        <f>VLOOKUP("銀光尖塔第二層", Data!$B:$D,H1, FALSE)</f>
        <v>银色高塔二层</v>
      </c>
      <c r="F80" s="117" t="s">
        <v>650</v>
      </c>
    </row>
    <row r="81" spans="1:6">
      <c r="A81" s="698"/>
      <c r="B81" s="165" t="str">
        <f>VLOOKUP("兇殘的維尚", Data!$B:$D,H1, FALSE)</f>
        <v>凶残的贝桑</v>
      </c>
      <c r="C81" s="114" t="str">
        <f>VLOOKUP("壓制者", Data!$B:$D,H1, FALSE)</f>
        <v>统御魔</v>
      </c>
      <c r="D81" s="116" t="s">
        <v>1649</v>
      </c>
      <c r="E81" s="116" t="str">
        <f>VLOOKUP("希望園圃第一階", Data!$B:$D,H1, FALSE)</f>
        <v>希望花园一层</v>
      </c>
      <c r="F81" s="117"/>
    </row>
    <row r="82" spans="1:6">
      <c r="A82" s="698"/>
      <c r="B82" s="165" t="str">
        <f>VLOOKUP("巨獸史拉格", Data!$B:$D,H1, FALSE)</f>
        <v>斯拉格‧巨兽</v>
      </c>
      <c r="C82" s="114" t="str">
        <f>VLOOKUP("末日騎獸", Data!$B:$D,H1, FALSE)</f>
        <v>阿玛顿</v>
      </c>
      <c r="D82" s="116" t="s">
        <v>1649</v>
      </c>
      <c r="E82" s="116" t="str">
        <f>VLOOKUP("銀光尖塔第一層", Data!$B:$D,H1, FALSE)</f>
        <v>银色高塔一层</v>
      </c>
      <c r="F82" s="117"/>
    </row>
    <row r="83" spans="1:6">
      <c r="A83" s="698"/>
      <c r="B83" s="165" t="str">
        <f>VLOOKUP("騷索", Data!$B:$D,H1, FALSE)</f>
        <v>萨奥‧索</v>
      </c>
      <c r="C83" s="114" t="str">
        <f>VLOOKUP("魔虜焚火師", Data!$B:$D,H1, FALSE)</f>
        <v>魔鲁焚化者</v>
      </c>
      <c r="D83" s="116" t="s">
        <v>1649</v>
      </c>
      <c r="E83" s="116" t="str">
        <f>VLOOKUP("銀光尖塔第二層", Data!$B:$D,H1, FALSE)</f>
        <v>银色高塔二层</v>
      </c>
      <c r="F83" s="117"/>
    </row>
    <row r="84" spans="1:6">
      <c r="A84" s="698"/>
      <c r="B84" s="165" t="str">
        <f>VLOOKUP("羅凱", Data!$B:$D,H1, FALSE)</f>
        <v>拉乌‧卡耶</v>
      </c>
      <c r="C84" s="114" t="str">
        <f>VLOOKUP("魔虜焚火師", Data!$B:$D,H1, FALSE)</f>
        <v>魔鲁焚化者</v>
      </c>
      <c r="D84" s="116" t="s">
        <v>1649</v>
      </c>
      <c r="E84" s="116" t="str">
        <f>VLOOKUP("銀光尖塔第二層", Data!$B:$D,H1, FALSE)</f>
        <v>银色高塔二层</v>
      </c>
      <c r="F84" s="117"/>
    </row>
    <row r="85" spans="1:6" ht="17" thickBot="1">
      <c r="A85" s="699"/>
      <c r="B85" s="121" t="str">
        <f>VLOOKUP("污穢的凱辛德菈", Data!$B:$D,H1, FALSE)</f>
        <v>可耻的姬辛德拉</v>
      </c>
      <c r="C85" s="119" t="str">
        <f>VLOOKUP("地獄女巫", Data!$B:$D,H1, FALSE)</f>
        <v>地狱妖女</v>
      </c>
      <c r="D85" s="118" t="s">
        <v>1649</v>
      </c>
      <c r="E85" s="118" t="str">
        <f>VLOOKUP("銀光尖塔第一層", Data!$B:$D,H1, FALSE)</f>
        <v>银色高塔一层</v>
      </c>
      <c r="F85" s="387" t="s">
        <v>5251</v>
      </c>
    </row>
    <row r="86" spans="1:6">
      <c r="A86" s="700" t="s">
        <v>95</v>
      </c>
      <c r="B86" s="388" t="str">
        <f>VLOOKUP("病狂者拉扣希斯", Data!$B:$D,H1, FALSE)</f>
        <v>恶疾缠身的拉科修斯</v>
      </c>
      <c r="C86" s="123" t="str">
        <f>VLOOKUP("喚鼠狂魔", Data!$B:$D,H1, FALSE)</f>
        <v>唤鼠师</v>
      </c>
      <c r="D86" s="389"/>
      <c r="E86" s="390" t="str">
        <f>VLOOKUP("衛斯馬屈城中區-瘟疫地道第一層", Data!$B:$D,H1, FALSE)</f>
        <v>威斯特玛城中区-瘟疫地道一层</v>
      </c>
      <c r="F86" s="391"/>
    </row>
    <row r="87" spans="1:6">
      <c r="A87" s="701"/>
      <c r="B87" s="392" t="str">
        <f>VLOOKUP("暴虐獸摩格姆", Data!$B:$D,H1, FALSE)</f>
        <v>巨兽莫古恩</v>
      </c>
      <c r="C87" s="127" t="str">
        <f>VLOOKUP("長牙沼澤怪", Data!$B:$D,H1, FALSE)</f>
        <v>尖牙沼泽兽</v>
      </c>
      <c r="D87" s="393" t="s">
        <v>1649</v>
      </c>
      <c r="E87" s="390" t="str">
        <f>VLOOKUP("血沼澤", Data!$B:$D,H1, FALSE)</f>
        <v>鲜血沼泽</v>
      </c>
      <c r="F87" s="391"/>
    </row>
    <row r="88" spans="1:6">
      <c r="A88" s="701"/>
      <c r="B88" s="392" t="str">
        <f>VLOOKUP("噬牙狂蝠", Data!$B:$D,H1, FALSE)</f>
        <v>板牙</v>
      </c>
      <c r="C88" s="127" t="str">
        <f>VLOOKUP("尖嘯邪巨蝠", Data!$B:$D,H1, FALSE)</f>
        <v>尖啸恐蝠</v>
      </c>
      <c r="D88" s="393" t="s">
        <v>1649</v>
      </c>
      <c r="E88" s="390" t="str">
        <f>VLOOKUP("血沼澤", Data!$B:$D,H1, FALSE)</f>
        <v>鲜血沼泽</v>
      </c>
      <c r="F88" s="391"/>
    </row>
    <row r="89" spans="1:6">
      <c r="A89" s="701"/>
      <c r="B89" s="392" t="str">
        <f>VLOOKUP("邪爪沼魔", Data!$B:$D,H1, FALSE)</f>
        <v>邪爪</v>
      </c>
      <c r="C89" s="127" t="str">
        <f>VLOOKUP("利齒沼澤怪", Data!$B:$D,H1, FALSE)</f>
        <v>沼泽怪</v>
      </c>
      <c r="D89" s="393" t="s">
        <v>1649</v>
      </c>
      <c r="E89" s="390" t="str">
        <f>VLOOKUP("溺水沼地", Data!$B:$D,H1, FALSE)</f>
        <v>漫水古道</v>
      </c>
      <c r="F89" s="391"/>
    </row>
    <row r="90" spans="1:6">
      <c r="A90" s="701"/>
      <c r="B90" s="392" t="str">
        <f>VLOOKUP("陷阱投擲魔", Data!$B:$D,H1, FALSE)</f>
        <v>陷阱投掷兽</v>
      </c>
      <c r="C90" s="127" t="str">
        <f>VLOOKUP("長牙沼澤怪", Data!$B:$D,H1, FALSE)</f>
        <v>尖牙沼泽兽</v>
      </c>
      <c r="D90" s="393" t="s">
        <v>1649</v>
      </c>
      <c r="E90" s="390" t="str">
        <f>VLOOKUP("溺水沼地", Data!$B:$D,H1, FALSE)</f>
        <v>漫水古道</v>
      </c>
      <c r="F90" s="391"/>
    </row>
    <row r="91" spans="1:6">
      <c r="A91" s="701"/>
      <c r="B91" s="392" t="str">
        <f>VLOOKUP("塔達迪亞", Data!$B:$D,H1, FALSE)</f>
        <v>塔达迪亚</v>
      </c>
      <c r="C91" s="127" t="str">
        <f>VLOOKUP("尖嘯邪巨蝠", Data!$B:$D,H1, FALSE)</f>
        <v>尖啸恐蝠</v>
      </c>
      <c r="D91" s="393" t="s">
        <v>1649</v>
      </c>
      <c r="E91" s="390" t="str">
        <f>VLOOKUP("溺水沼地", Data!$B:$D,H1, FALSE)</f>
        <v>漫水古道</v>
      </c>
      <c r="F91" s="391"/>
    </row>
    <row r="92" spans="1:6">
      <c r="A92" s="701"/>
      <c r="B92" s="392" t="str">
        <f>VLOOKUP("維克塔柏", Data!$B:$D,H1, FALSE)</f>
        <v>维克‧塔波克</v>
      </c>
      <c r="C92" s="127" t="str">
        <f>VLOOKUP("血魔吞噬者", Data!$B:$D,H1, FALSE)</f>
        <v>血魔吞食者</v>
      </c>
      <c r="D92" s="393" t="s">
        <v>1649</v>
      </c>
      <c r="E92" s="390" t="str">
        <f>VLOOKUP("寇佛斯入口", Data!$B:$D,H1, FALSE)</f>
        <v>往科乌斯之路</v>
      </c>
      <c r="F92" s="391"/>
    </row>
    <row r="93" spans="1:6">
      <c r="A93" s="701"/>
      <c r="B93" s="392" t="str">
        <f>VLOOKUP("維克馬魯", Data!$B:$D,H1, FALSE)</f>
        <v>维克‧马鲁</v>
      </c>
      <c r="C93" s="127" t="str">
        <f>VLOOKUP("血魔吞噬者", Data!$B:$D,H1, FALSE)</f>
        <v>血魔吞食者</v>
      </c>
      <c r="D93" s="393" t="s">
        <v>1649</v>
      </c>
      <c r="E93" s="390" t="str">
        <f>VLOOKUP("寇佛斯入口", Data!$B:$D,H1, FALSE)</f>
        <v>往科乌斯之路</v>
      </c>
      <c r="F93" s="391"/>
    </row>
    <row r="94" spans="1:6">
      <c r="A94" s="701"/>
      <c r="B94" s="392" t="str">
        <f>VLOOKUP("納克薩魯", Data!$B:$D,H1, FALSE)</f>
        <v>纳克‧萨鲁格</v>
      </c>
      <c r="C94" s="127" t="str">
        <f>VLOOKUP("血魔擲毒者", Data!$B:$D,H1, FALSE)</f>
        <v>血魔抛毒者</v>
      </c>
      <c r="D94" s="393" t="s">
        <v>1649</v>
      </c>
      <c r="E94" s="390" t="str">
        <f>VLOOKUP("寇佛斯遺跡", Data!$B:$D,H1, FALSE)</f>
        <v>科乌斯废墟</v>
      </c>
      <c r="F94" s="391"/>
    </row>
    <row r="95" spans="1:6">
      <c r="A95" s="701"/>
      <c r="B95" s="392" t="str">
        <f>VLOOKUP("納克庫金", Data!$B:$D,H1, FALSE)</f>
        <v>纳克‧库金</v>
      </c>
      <c r="C95" s="127" t="str">
        <f>VLOOKUP("血魔擲毒者", Data!$B:$D,H1, FALSE)</f>
        <v>血魔抛毒者</v>
      </c>
      <c r="D95" s="393" t="s">
        <v>1649</v>
      </c>
      <c r="E95" s="390" t="str">
        <f>VLOOKUP("寇佛斯遺跡", Data!$B:$D,H1, FALSE)</f>
        <v>科乌斯废墟</v>
      </c>
      <c r="F95" s="391"/>
    </row>
    <row r="96" spans="1:6">
      <c r="A96" s="701"/>
      <c r="B96" s="392" t="str">
        <f>VLOOKUP("巴里哈塔", Data!$B:$D,H1, FALSE)</f>
        <v>巴里‧哈塔</v>
      </c>
      <c r="C96" s="127" t="str">
        <f>VLOOKUP("血魔薩滿", Data!$B:$D,H1, FALSE)</f>
        <v>血肉萨满</v>
      </c>
      <c r="D96" s="393" t="s">
        <v>1649</v>
      </c>
      <c r="E96" s="390" t="str">
        <f>VLOOKUP("寇佛斯遺跡", Data!$B:$D,H1, FALSE)</f>
        <v>科乌斯废墟</v>
      </c>
      <c r="F96" s="391"/>
    </row>
    <row r="97" spans="1:6">
      <c r="A97" s="701"/>
      <c r="B97" s="392" t="str">
        <f>VLOOKUP("洛葛拉斯", Data!$B:$D,H1, FALSE)</f>
        <v>洛格拉斯</v>
      </c>
      <c r="C97" s="127" t="str">
        <f>VLOOKUP("處決者", Data!$B:$D,H1, FALSE)</f>
        <v>处决者</v>
      </c>
      <c r="D97" s="393" t="s">
        <v>1649</v>
      </c>
      <c r="E97" s="390" t="str">
        <f>VLOOKUP("混沌界要塞第一層", Data!$B:$D,H1, FALSE)</f>
        <v>混沌要塞一层</v>
      </c>
      <c r="F97" s="391"/>
    </row>
    <row r="98" spans="1:6">
      <c r="A98" s="701"/>
      <c r="B98" s="392" t="str">
        <f>VLOOKUP("殘虐者沃特斯克", Data!$B:$D,H1, FALSE)</f>
        <v>残忍的瓦泰斯克</v>
      </c>
      <c r="C98" s="127" t="str">
        <f>VLOOKUP("督天靈", Data!$B:$D,H1, FALSE)</f>
        <v>督天灵</v>
      </c>
      <c r="D98" s="393" t="s">
        <v>1649</v>
      </c>
      <c r="E98" s="390" t="str">
        <f>VLOOKUP("混沌界要塞第一層", Data!$B:$D,H1, FALSE)</f>
        <v>混沌要塞一层</v>
      </c>
      <c r="F98" s="391"/>
    </row>
    <row r="99" spans="1:6">
      <c r="A99" s="701"/>
      <c r="B99" s="392" t="str">
        <f>VLOOKUP("賽瑟斯", Data!$B:$D,H1, FALSE)</f>
        <v>赛西斯</v>
      </c>
      <c r="C99" s="394" t="str">
        <f>VLOOKUP("叛天靈", Data!$B:$D,H1, FALSE)</f>
        <v>叛天灵</v>
      </c>
      <c r="D99" s="393" t="s">
        <v>1649</v>
      </c>
      <c r="E99" s="390" t="str">
        <f>VLOOKUP("混沌界要塞第一層", Data!$B:$D,H1, FALSE)</f>
        <v>混沌要塞一层</v>
      </c>
      <c r="F99" s="391"/>
    </row>
    <row r="100" spans="1:6">
      <c r="A100" s="701"/>
      <c r="B100" s="392" t="str">
        <f>VLOOKUP("令人畏懼的拉萊爾", Data!$B:$D,H1, FALSE)</f>
        <v>可怕的拉兹尔</v>
      </c>
      <c r="C100" s="127" t="str">
        <f>VLOOKUP("飛翼兇魔", Data!$B:$D,H1, FALSE)</f>
        <v>飞翼刺杀者</v>
      </c>
      <c r="D100" s="393"/>
      <c r="E100" s="390" t="str">
        <f>VLOOKUP("混沌界要塞第一層", Data!$B:$D,H1, FALSE)</f>
        <v>混沌要塞一层</v>
      </c>
      <c r="F100" s="391"/>
    </row>
    <row r="101" spans="1:6" ht="17.399999999999999" customHeight="1">
      <c r="A101" s="701"/>
      <c r="B101" s="392" t="str">
        <f>VLOOKUP("海杜瑞斯", Data!$B:$D,H1, FALSE)</f>
        <v>海杜瑞斯</v>
      </c>
      <c r="C101" s="127" t="str">
        <f>VLOOKUP("督天靈", Data!$B:$D,H1, FALSE)</f>
        <v>督天灵</v>
      </c>
      <c r="D101" s="393"/>
      <c r="E101" s="390" t="str">
        <f>VLOOKUP("混沌界要塞第一層", Data!$B:$D,H1, FALSE)</f>
        <v>混沌要塞一层</v>
      </c>
      <c r="F101" s="391"/>
    </row>
    <row r="102" spans="1:6" ht="17.399999999999999" customHeight="1">
      <c r="A102" s="701"/>
      <c r="B102" s="392" t="str">
        <f>VLOOKUP("褻瀆者巴拉崔斯克", Data!$B:$D,H1, FALSE)</f>
        <v>亵渎者巴拉塔斯克</v>
      </c>
      <c r="C102" s="127" t="str">
        <f>VLOOKUP("處決者", Data!$B:$D,H1, FALSE)</f>
        <v>处决者</v>
      </c>
      <c r="D102" s="393" t="s">
        <v>1649</v>
      </c>
      <c r="E102" s="390" t="str">
        <f>VLOOKUP("混沌界要塞第二層", Data!$B:$D,H1, FALSE)</f>
        <v>混沌要塞二层</v>
      </c>
      <c r="F102" s="391"/>
    </row>
    <row r="103" spans="1:6" s="395" customFormat="1" ht="17.399999999999999" customHeight="1">
      <c r="A103" s="701"/>
      <c r="B103" s="392" t="str">
        <f>VLOOKUP("佐瑞斯", Data!$B:$D,H1, FALSE)</f>
        <v>佐鲁斯</v>
      </c>
      <c r="C103" s="283" t="str">
        <f>VLOOKUP("飛翼兇魔", Data!$B:$D,H1, FALSE)</f>
        <v>飞翼刺杀者</v>
      </c>
      <c r="D103" s="393" t="s">
        <v>1649</v>
      </c>
      <c r="E103" s="390" t="str">
        <f>VLOOKUP("混沌界要塞第二層", Data!$B:$D,H1, FALSE)</f>
        <v>混沌要塞二层</v>
      </c>
      <c r="F103" s="391"/>
    </row>
    <row r="104" spans="1:6" s="340" customFormat="1" ht="17.399999999999999" customHeight="1">
      <c r="A104" s="701"/>
      <c r="B104" s="392" t="str">
        <f>VLOOKUP("薩凡", Data!$B:$D,H1, FALSE)</f>
        <v>萨菲恩</v>
      </c>
      <c r="C104" s="283" t="str">
        <f>VLOOKUP("叛天靈", Data!$B:$D,H1, FALSE)</f>
        <v>叛天灵</v>
      </c>
      <c r="D104" s="393" t="s">
        <v>1649</v>
      </c>
      <c r="E104" s="390" t="str">
        <f>VLOOKUP("混沌界要塞第二層", Data!$B:$D,H1, FALSE)</f>
        <v>混沌要塞二层</v>
      </c>
      <c r="F104" s="391"/>
    </row>
    <row r="105" spans="1:6" s="340" customFormat="1" ht="17.399999999999999" customHeight="1">
      <c r="A105" s="701"/>
      <c r="B105" s="392" t="str">
        <f>VLOOKUP("巨岩克洛斯", Data!$B:$D,H1, FALSE)</f>
        <v>洛库鲁斯</v>
      </c>
      <c r="C105" s="394" t="str">
        <f>VLOOKUP("原生鎧岩獸", Data!$B:$D,H1, FALSE)</f>
        <v>原始食腐兽</v>
      </c>
      <c r="D105" s="393" t="s">
        <v>1649</v>
      </c>
      <c r="E105" s="390" t="str">
        <f>VLOOKUP("永恆戰場", Data!$B:$D,H1, FALSE)</f>
        <v>永恒战场</v>
      </c>
      <c r="F105" s="391"/>
    </row>
    <row r="106" spans="1:6" ht="17.399999999999999" customHeight="1">
      <c r="A106" s="701"/>
      <c r="B106" s="392" t="str">
        <f>VLOOKUP("曜岩歐布斯", Data!$B:$D,H1, FALSE)</f>
        <v>奥布西迪厄斯</v>
      </c>
      <c r="C106" s="283" t="str">
        <f>VLOOKUP("原生鎧岩獸", Data!$B:$D,H1, FALSE)</f>
        <v>原始食腐兽</v>
      </c>
      <c r="D106" s="393" t="s">
        <v>1649</v>
      </c>
      <c r="E106" s="390" t="str">
        <f>VLOOKUP("永恆戰場", Data!$B:$D,H1, FALSE)</f>
        <v>永恒战场</v>
      </c>
      <c r="F106" s="391"/>
    </row>
    <row r="107" spans="1:6">
      <c r="A107" s="701"/>
      <c r="B107" s="392" t="str">
        <f>VLOOKUP("腐腫隧岩蟲", Data!$B:$D,H1, FALSE)</f>
        <v>斯拉斯‧掘洞者</v>
      </c>
      <c r="C107" s="283" t="str">
        <f>VLOOKUP("隧岩蟲", Data!$B:$D,H1, FALSE)</f>
        <v>食物掘洞者</v>
      </c>
      <c r="D107" s="393" t="s">
        <v>1649</v>
      </c>
      <c r="E107" s="390" t="str">
        <f>VLOOKUP("永恆戰場", Data!$B:$D,H1, FALSE)</f>
        <v>永恒战场</v>
      </c>
      <c r="F107" s="391"/>
    </row>
    <row r="108" spans="1:6">
      <c r="A108" s="701"/>
      <c r="B108" s="392" t="str">
        <f>VLOOKUP("腐噬隧岩蟲", Data!$B:$D,H1, FALSE)</f>
        <v>布拉斯克‧掘洞者</v>
      </c>
      <c r="C108" s="283" t="str">
        <f>VLOOKUP("隧岩蟲", Data!$B:$D,H1, FALSE)</f>
        <v>食物掘洞者</v>
      </c>
      <c r="D108" s="393" t="s">
        <v>1649</v>
      </c>
      <c r="E108" s="390" t="str">
        <f>VLOOKUP("永恆戰場", Data!$B:$D,H1, FALSE)</f>
        <v>永恒战场</v>
      </c>
      <c r="F108" s="391"/>
    </row>
    <row r="109" spans="1:6">
      <c r="A109" s="701"/>
      <c r="B109" s="392" t="str">
        <f>VLOOKUP("沃特瑞斯", Data!$B:$D,H1, FALSE)</f>
        <v>沃特鲁斯</v>
      </c>
      <c r="C109" s="283" t="str">
        <f>VLOOKUP("鉤刺潛伏者", Data!$B:$D,H1, FALSE)</f>
        <v>勾刺潜伏者</v>
      </c>
      <c r="D109" s="393" t="s">
        <v>1649</v>
      </c>
      <c r="E109" s="390" t="str">
        <f>VLOOKUP("永恆戰場", Data!$B:$D,H1, FALSE)</f>
        <v>永恒战场</v>
      </c>
      <c r="F109" s="391"/>
    </row>
    <row r="110" spans="1:6">
      <c r="A110" s="701"/>
      <c r="B110" s="392" t="str">
        <f>VLOOKUP("貝瑟斯", Data!$B:$D,H1, FALSE)</f>
        <v>毕苏斯</v>
      </c>
      <c r="C110" s="283" t="str">
        <f>VLOOKUP("鉤刺潛伏者", Data!$B:$D,H1, FALSE)</f>
        <v>勾刺潜伏者</v>
      </c>
      <c r="D110" s="393" t="s">
        <v>1649</v>
      </c>
      <c r="E110" s="390" t="str">
        <f>VLOOKUP("永恆戰場", Data!$B:$D,H1, FALSE)</f>
        <v>永恒战场</v>
      </c>
      <c r="F110" s="391"/>
    </row>
    <row r="111" spans="1:6">
      <c r="A111" s="701"/>
      <c r="B111" s="392" t="str">
        <f>VLOOKUP("布盧", Data!$B:$D,H1, FALSE)</f>
        <v>布鲁</v>
      </c>
      <c r="C111" s="283" t="str">
        <f>VLOOKUP("血污獵鷹", Data!$B:$D,H1, FALSE)</f>
        <v>血肉猎食者</v>
      </c>
      <c r="D111" s="393" t="s">
        <v>1649</v>
      </c>
      <c r="E111" s="390" t="str">
        <f>VLOOKUP("永恆戰場-遣逐之境", Data!$B:$D,H1, FALSE)</f>
        <v>永恒战场-放逐之境</v>
      </c>
      <c r="F111" s="391"/>
    </row>
    <row r="112" spans="1:6">
      <c r="A112" s="701"/>
      <c r="B112" s="392" t="str">
        <f>VLOOKUP("厄蒂絲", Data!$B:$D,H1, FALSE)</f>
        <v>厄蒂斯</v>
      </c>
      <c r="C112" s="283" t="str">
        <f>VLOOKUP("死亡侍女", Data!$B:$D,H1, FALSE)</f>
        <v>死神侍女</v>
      </c>
      <c r="D112" s="393" t="s">
        <v>1649</v>
      </c>
      <c r="E112" s="390" t="str">
        <f>VLOOKUP("布萊索恩墓園", Data!$B:$D,H1, FALSE)</f>
        <v>棘草墓园</v>
      </c>
      <c r="F112" s="391"/>
    </row>
    <row r="113" spans="1:10">
      <c r="A113" s="701"/>
      <c r="B113" s="392" t="str">
        <f>VLOOKUP("希德洛斯", Data!$B:$D,H1, FALSE)</f>
        <v>赫德罗斯</v>
      </c>
      <c r="C113" s="283" t="str">
        <f>VLOOKUP("馭屍者", Data!$B:$D,H1, FALSE)</f>
        <v>控尸者</v>
      </c>
      <c r="D113" s="393" t="s">
        <v>1649</v>
      </c>
      <c r="E113" s="390" t="str">
        <f>VLOOKUP("布萊索恩墓園", Data!$B:$D,H1, FALSE)</f>
        <v>棘草墓园</v>
      </c>
      <c r="F113" s="391"/>
    </row>
    <row r="114" spans="1:10">
      <c r="A114" s="701"/>
      <c r="B114" s="392" t="str">
        <f>VLOOKUP("普拉爾", Data!$B:$D,H1, FALSE)</f>
        <v>普拉</v>
      </c>
      <c r="C114" s="283" t="str">
        <f>VLOOKUP("馭屍者", Data!$B:$D,H1, FALSE)</f>
        <v>控尸者</v>
      </c>
      <c r="D114" s="393" t="s">
        <v>1649</v>
      </c>
      <c r="E114" s="390" t="str">
        <f>VLOOKUP("布萊索恩墓園", Data!$B:$D,H1, FALSE)</f>
        <v>棘草墓园</v>
      </c>
      <c r="F114" s="391"/>
    </row>
    <row r="115" spans="1:10" s="340" customFormat="1">
      <c r="A115" s="701"/>
      <c r="B115" s="392" t="str">
        <f>VLOOKUP("坦格里斯", Data!$B:$D,H1, FALSE)</f>
        <v>塔格瑞斯</v>
      </c>
      <c r="C115" s="283" t="str">
        <f>VLOOKUP("邪天靈", Data!$B:$D,H1, FALSE)</f>
        <v>邪天灵</v>
      </c>
      <c r="D115" s="393" t="s">
        <v>1649</v>
      </c>
      <c r="E115" s="390" t="str">
        <f>VLOOKUP("布萊索恩墓園", Data!$B:$D,H1, FALSE)</f>
        <v>棘草墓园</v>
      </c>
      <c r="F115" s="391"/>
      <c r="G115" s="75"/>
      <c r="H115" s="75"/>
      <c r="I115" s="75"/>
      <c r="J115" s="75"/>
    </row>
    <row r="116" spans="1:10">
      <c r="A116" s="701"/>
      <c r="B116" s="392" t="str">
        <f>VLOOKUP("戴爾•霍桑", Data!$B:$D,H1, FALSE)</f>
        <v>达尔‧霍松</v>
      </c>
      <c r="C116" s="283" t="str">
        <f>VLOOKUP("亡魄弓箭手", Data!$B:$D,H1, FALSE)</f>
        <v>亡魂弓手</v>
      </c>
      <c r="D116" s="393" t="s">
        <v>1649</v>
      </c>
      <c r="E116" s="390" t="str">
        <f>VLOOKUP("衛斯馬屈城中區", Data!$B:$D,H1, FALSE)</f>
        <v>威斯特玛城中区</v>
      </c>
      <c r="F116" s="391"/>
    </row>
    <row r="117" spans="1:10">
      <c r="A117" s="701"/>
      <c r="B117" s="392" t="str">
        <f>VLOOKUP("傑柏隊長", Data!$B:$D,H1, FALSE)</f>
        <v>基伯队长</v>
      </c>
      <c r="C117" s="283" t="str">
        <f>VLOOKUP("亡魄盾衛", Data!$B:$D,H1, FALSE)</f>
        <v>亡魂盾卫</v>
      </c>
      <c r="D117" s="393" t="s">
        <v>1649</v>
      </c>
      <c r="E117" s="390" t="str">
        <f>VLOOKUP("衛斯馬屈城中區", Data!$B:$D,H1, FALSE)</f>
        <v>威斯特玛城中区</v>
      </c>
      <c r="F117" s="391"/>
    </row>
    <row r="118" spans="1:10">
      <c r="A118" s="701"/>
      <c r="B118" s="392" t="str">
        <f>VLOOKUP("伊果•史塔佛斯", Data!$B:$D,H1, FALSE)</f>
        <v>伊格‧斯塔弗斯</v>
      </c>
      <c r="C118" s="283" t="str">
        <f>VLOOKUP("亡魄士兵", Data!$B:$D,H1, FALSE)</f>
        <v>亡魂士兵</v>
      </c>
      <c r="D118" s="393" t="s">
        <v>1649</v>
      </c>
      <c r="E118" s="390" t="str">
        <f>VLOOKUP("衛斯馬屈城中區", Data!$B:$D,H1, FALSE)</f>
        <v>威斯特玛城中区</v>
      </c>
      <c r="F118" s="391"/>
    </row>
    <row r="119" spans="1:10">
      <c r="A119" s="701"/>
      <c r="B119" s="392" t="str">
        <f>VLOOKUP("耶加契夫", Data!$B:$D,H1, FALSE)</f>
        <v>耶加切夫</v>
      </c>
      <c r="C119" s="283" t="str">
        <f>VLOOKUP("驅魂師", Data!$B:$D,H1, FALSE)</f>
        <v>驱魔者</v>
      </c>
      <c r="D119" s="393" t="s">
        <v>1649</v>
      </c>
      <c r="E119" s="390" t="str">
        <f>VLOOKUP("衛斯馬屈城中區", Data!$B:$D,H1, FALSE)</f>
        <v>威斯特玛城中区</v>
      </c>
      <c r="F119" s="391"/>
    </row>
    <row r="120" spans="1:10">
      <c r="A120" s="701"/>
      <c r="B120" s="392" t="str">
        <f>VLOOKUP("厭憎者馬坦薩斯", Data!$B:$D,H1, FALSE)</f>
        <v>可憎的玛坦萨斯</v>
      </c>
      <c r="C120" s="283" t="str">
        <f>VLOOKUP("驅魂師", Data!$B:$D,H1, FALSE)</f>
        <v>驱魔者</v>
      </c>
      <c r="D120" s="393" t="s">
        <v>1649</v>
      </c>
      <c r="E120" s="390" t="str">
        <f>VLOOKUP("衛斯馬屈城中區", Data!$B:$D,H1, FALSE)</f>
        <v>威斯特玛城中区</v>
      </c>
      <c r="F120" s="391"/>
    </row>
    <row r="121" spans="1:10">
      <c r="A121" s="701"/>
      <c r="B121" s="392" t="str">
        <f>VLOOKUP("烈焰侍女", Data!$B:$D,H1, FALSE)</f>
        <v>烈焰侍女</v>
      </c>
      <c r="C121" s="283" t="str">
        <f>VLOOKUP("死亡侍女", Data!$B:$D,H1, FALSE)</f>
        <v>死神侍女</v>
      </c>
      <c r="D121" s="393"/>
      <c r="E121" s="390" t="str">
        <f>VLOOKUP("衛斯馬屈山城區", Data!$B:$D,H1, FALSE)</f>
        <v>威斯特玛上城区</v>
      </c>
      <c r="F121" s="391" t="s">
        <v>6830</v>
      </c>
    </row>
    <row r="122" spans="1:10">
      <c r="A122" s="701"/>
      <c r="B122" s="392" t="str">
        <f>VLOOKUP("烈焰侍女", Data!$B:$D,H1, FALSE)</f>
        <v>烈焰侍女</v>
      </c>
      <c r="C122" s="283" t="str">
        <f>VLOOKUP("死亡侍女", Data!$B:$D,H1, FALSE)</f>
        <v>死神侍女</v>
      </c>
      <c r="D122" s="393"/>
      <c r="E122" s="390" t="str">
        <f>VLOOKUP("衛斯馬屈山城區", Data!$B:$D,H1, FALSE)</f>
        <v>威斯特玛上城区</v>
      </c>
      <c r="F122" s="391" t="s">
        <v>6830</v>
      </c>
    </row>
    <row r="123" spans="1:10">
      <c r="A123" s="701"/>
      <c r="B123" s="392" t="str">
        <f>VLOOKUP("烈焰侍女", Data!$B:$D,H1, FALSE)</f>
        <v>烈焰侍女</v>
      </c>
      <c r="C123" s="283" t="str">
        <f>VLOOKUP("死亡侍女", Data!$B:$D,H1, FALSE)</f>
        <v>死神侍女</v>
      </c>
      <c r="D123" s="393"/>
      <c r="E123" s="390" t="str">
        <f>VLOOKUP("衛斯馬屈山城區", Data!$B:$D,H1, FALSE)</f>
        <v>威斯特玛上城区</v>
      </c>
      <c r="F123" s="391" t="s">
        <v>6831</v>
      </c>
    </row>
    <row r="124" spans="1:10">
      <c r="A124" s="701"/>
      <c r="B124" s="392" t="str">
        <f>VLOOKUP("米齊博爾", Data!$B:$D,H1, FALSE)</f>
        <v>米奇博尔</v>
      </c>
      <c r="C124" s="283" t="str">
        <f>VLOOKUP("死亡鬼影", Data!$B:$D,H1, FALSE)</f>
        <v>死亡鬼影</v>
      </c>
      <c r="D124" s="393" t="s">
        <v>1649</v>
      </c>
      <c r="E124" s="390" t="str">
        <f>VLOOKUP("衛斯馬屈山城區", Data!$B:$D,H1, FALSE)</f>
        <v>威斯特玛上城区</v>
      </c>
      <c r="F124" s="391"/>
    </row>
    <row r="125" spans="1:10">
      <c r="A125" s="701"/>
      <c r="B125" s="392" t="str">
        <f>VLOOKUP("希爾多夏•布赫", Data!$B:$D,H1, FALSE)</f>
        <v>西奥多西娅‧布赫雷</v>
      </c>
      <c r="C125" s="283" t="str">
        <f>VLOOKUP("懲罪者", Data!$B:$D,H1, FALSE)</f>
        <v>惩罚者</v>
      </c>
      <c r="D125" s="393" t="s">
        <v>1649</v>
      </c>
      <c r="E125" s="390" t="str">
        <f>VLOOKUP("衛斯馬屈山城區", Data!$B:$D,H1, FALSE)</f>
        <v>威斯特玛上城区</v>
      </c>
      <c r="F125" s="391"/>
    </row>
    <row r="126" spans="1:10">
      <c r="A126" s="701"/>
      <c r="B126" s="392" t="str">
        <f>VLOOKUP("詛咒者薩瑪利斯", Data!$B:$D,H1, FALSE)</f>
        <v>苏玛瑞斯‧天谴者</v>
      </c>
      <c r="C126" s="283" t="str">
        <f>VLOOKUP("邪天靈", Data!$B:$D,H1, FALSE)</f>
        <v>邪天灵</v>
      </c>
      <c r="D126" s="393" t="s">
        <v>1649</v>
      </c>
      <c r="E126" s="390" t="str">
        <f>VLOOKUP("衛斯馬屈山城區", Data!$B:$D,H1, FALSE)</f>
        <v>威斯特玛上城区</v>
      </c>
      <c r="F126" s="391"/>
    </row>
    <row r="127" spans="1:10">
      <c r="A127" s="701"/>
      <c r="B127" s="392" t="str">
        <f>VLOOKUP("潘•費茲本", Data!$B:$D,H1, FALSE)</f>
        <v>潘‧菲兹贝恩</v>
      </c>
      <c r="C127" s="283" t="str">
        <f>VLOOKUP("獵犬首領", Data!$B:$D,H1, FALSE)</f>
        <v>猎犬首领</v>
      </c>
      <c r="D127" s="393" t="s">
        <v>1649</v>
      </c>
      <c r="E127" s="390" t="str">
        <f>VLOOKUP("衛斯馬屈山城區", Data!$B:$D,H1, FALSE)</f>
        <v>威斯特玛上城区</v>
      </c>
      <c r="F127" s="391"/>
    </row>
    <row r="128" spans="1:10" ht="17" thickBot="1">
      <c r="A128" s="702"/>
      <c r="B128" s="396" t="str">
        <f>VLOOKUP("狂嗥者費尼亞", Data!$B:$D,H1, FALSE)</f>
        <v>咆哮者派留斯</v>
      </c>
      <c r="C128" s="310" t="str">
        <f>VLOOKUP("兇犬", Data!$B:$D,H1, FALSE)</f>
        <v>凶犬</v>
      </c>
      <c r="D128" s="397"/>
      <c r="E128" s="398" t="str">
        <f>VLOOKUP("衛斯馬屈城中區", Data!$B:$D,H1, FALSE)</f>
        <v>威斯特玛城中区</v>
      </c>
      <c r="F128" s="391" t="str">
        <f>VLOOKUP("衛斯馬屈山城區", Data!$B:$D,H1, FALSE)&amp;"也会出现"</f>
        <v>威斯特玛上城区也会出现</v>
      </c>
    </row>
    <row r="129" spans="1:6" ht="17" thickBot="1">
      <c r="A129" s="204"/>
      <c r="B129" s="399"/>
      <c r="C129" s="400"/>
      <c r="D129" s="399"/>
      <c r="E129" s="399"/>
      <c r="F129" s="401"/>
    </row>
    <row r="130" spans="1:6" ht="23" thickBot="1">
      <c r="A130" s="707" t="s">
        <v>3673</v>
      </c>
      <c r="B130" s="708"/>
      <c r="C130" s="708"/>
      <c r="D130" s="708"/>
      <c r="E130" s="708"/>
      <c r="F130" s="709"/>
    </row>
    <row r="131" spans="1:6" ht="14.25" customHeight="1" thickBot="1">
      <c r="A131" s="277" t="s">
        <v>3674</v>
      </c>
      <c r="B131" s="402" t="s">
        <v>652</v>
      </c>
      <c r="C131" s="339" t="s">
        <v>3675</v>
      </c>
      <c r="D131" s="695" t="s">
        <v>1650</v>
      </c>
      <c r="E131" s="696"/>
      <c r="F131" s="403" t="s">
        <v>3672</v>
      </c>
    </row>
    <row r="132" spans="1:6" ht="14.25" customHeight="1">
      <c r="A132" s="703" t="s">
        <v>89</v>
      </c>
      <c r="B132" s="404" t="str">
        <f>VLOOKUP("掘墓者戴塔", Data!$B:$D,H1, FALSE)</f>
        <v>数据挖掘者</v>
      </c>
      <c r="C132" s="405" t="str">
        <f>VLOOKUP("死亡掘墓者", Data!$B:$D,H1, FALSE)</f>
        <v>恐怖的掘墓者</v>
      </c>
      <c r="D132" s="343" t="s">
        <v>1649</v>
      </c>
      <c r="E132" s="344" t="str">
        <f>VLOOKUP("荒棄墓園-被褻瀆的墓穴", Data!$B:$D,H1, FALSE)</f>
        <v>荒废的墓地-污秽的墓穴</v>
      </c>
      <c r="F132" s="406" t="s">
        <v>713</v>
      </c>
    </row>
    <row r="133" spans="1:6" ht="14.25" customHeight="1" thickBot="1">
      <c r="A133" s="704"/>
      <c r="B133" s="349" t="str">
        <f>VLOOKUP("[棺材板]約翰·戈罕", Data!$B:$D,H1, FALSE)</f>
        <v>棺材约翰·格汉姆</v>
      </c>
      <c r="C133" s="350" t="str">
        <f>VLOOKUP("殺手亡魂", Data!$B:$D,H1, FALSE)</f>
        <v>恶鬼杀手</v>
      </c>
      <c r="D133" s="665" t="s">
        <v>6527</v>
      </c>
      <c r="E133" s="351" t="str">
        <f>VLOOKUP("荒棄墓園-被褻瀆的墓穴", Data!$B:$D,H1, FALSE)</f>
        <v>荒废的墓地-污秽的墓穴</v>
      </c>
      <c r="F133" s="407" t="s">
        <v>714</v>
      </c>
    </row>
    <row r="134" spans="1:6" ht="14.25" customHeight="1">
      <c r="A134" s="705" t="s">
        <v>651</v>
      </c>
      <c r="B134" s="408" t="str">
        <f>VLOOKUP("書籍管理員", Data!$B:$D,H1, FALSE)</f>
        <v>典籍守护者</v>
      </c>
      <c r="C134" s="409" t="str">
        <f>VLOOKUP("陰森亡靈", Data!$B:$D,H1, FALSE)</f>
        <v>厉鬼</v>
      </c>
      <c r="D134" s="410" t="s">
        <v>1649</v>
      </c>
      <c r="E134" s="355" t="str">
        <f>VLOOKUP("佐敦庫勒秘庫-暗影之境", Data!$B:$D,H1, FALSE)</f>
        <v>佐敦·库勒藏书馆-暗影领域</v>
      </c>
      <c r="F134" s="411" t="s">
        <v>90</v>
      </c>
    </row>
    <row r="135" spans="1:6" ht="14.25" customHeight="1" thickBot="1">
      <c r="A135" s="706"/>
      <c r="B135" s="364" t="str">
        <f>VLOOKUP("巴希歐克", Data!$B:$D,H1, FALSE)</f>
        <v>毕叔</v>
      </c>
      <c r="C135" s="365" t="str">
        <f>VLOOKUP("沉淪喚魔師", Data!$B:$D,H1, FALSE)</f>
        <v>堕落巫师</v>
      </c>
      <c r="D135" s="412" t="s">
        <v>1649</v>
      </c>
      <c r="E135" s="366" t="str">
        <f>VLOOKUP("達厄古綠洲", Data!$B:$D,H1, FALSE)</f>
        <v>达尔格绿洲</v>
      </c>
      <c r="F135" s="413" t="s">
        <v>91</v>
      </c>
    </row>
    <row r="136" spans="1:6" ht="14.25" customHeight="1">
      <c r="A136" s="340"/>
      <c r="B136" s="399"/>
      <c r="C136" s="399"/>
      <c r="D136" s="399"/>
      <c r="E136" s="399"/>
      <c r="F136" s="399"/>
    </row>
    <row r="137" spans="1:6" ht="14.25" customHeight="1">
      <c r="A137" s="694" t="s">
        <v>2624</v>
      </c>
      <c r="B137" s="694"/>
      <c r="C137" s="694"/>
      <c r="D137" s="694"/>
      <c r="E137" s="694"/>
    </row>
  </sheetData>
  <mergeCells count="12">
    <mergeCell ref="A2:F2"/>
    <mergeCell ref="A4:A24"/>
    <mergeCell ref="A25:A48"/>
    <mergeCell ref="A49:A75"/>
    <mergeCell ref="D3:E3"/>
    <mergeCell ref="A137:E137"/>
    <mergeCell ref="D131:E131"/>
    <mergeCell ref="A76:A85"/>
    <mergeCell ref="A86:A128"/>
    <mergeCell ref="A132:A133"/>
    <mergeCell ref="A134:A135"/>
    <mergeCell ref="A130:F130"/>
  </mergeCells>
  <phoneticPr fontId="7" type="noConversion"/>
  <dataValidations count="1">
    <dataValidation type="list" allowBlank="1" showInputMessage="1" showErrorMessage="1" sqref="G1" xr:uid="{00000000-0002-0000-0100-000000000000}">
      <formula1>"繁體中文,简体中文,English"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803"/>
  <sheetViews>
    <sheetView zoomScaleNormal="100" workbookViewId="0">
      <pane ySplit="1" topLeftCell="A779" activePane="bottomLeft" state="frozen"/>
      <selection pane="bottomLeft" activeCell="G816" sqref="G816"/>
    </sheetView>
  </sheetViews>
  <sheetFormatPr defaultColWidth="9" defaultRowHeight="14.5"/>
  <cols>
    <col min="1" max="1" width="15.58203125" style="286" customWidth="1"/>
    <col min="2" max="2" width="7.58203125" style="79" customWidth="1"/>
    <col min="3" max="3" width="20.58203125" style="473" customWidth="1"/>
    <col min="4" max="4" width="50.58203125" style="79" customWidth="1"/>
    <col min="5" max="6" width="9" style="79"/>
    <col min="7" max="7" width="10.58203125" style="79" customWidth="1"/>
    <col min="8" max="16384" width="9" style="79"/>
  </cols>
  <sheetData>
    <row r="1" spans="1:9" s="75" customFormat="1" ht="17" thickBot="1">
      <c r="A1" s="73" t="s">
        <v>2023</v>
      </c>
      <c r="B1" s="892" t="s">
        <v>4009</v>
      </c>
      <c r="C1" s="892"/>
      <c r="D1" s="76" t="s">
        <v>4209</v>
      </c>
      <c r="E1" s="573" t="s">
        <v>3676</v>
      </c>
      <c r="F1" s="514" t="s">
        <v>3606</v>
      </c>
      <c r="G1" s="514" t="s">
        <v>3607</v>
      </c>
      <c r="H1" s="514" t="s">
        <v>3608</v>
      </c>
      <c r="I1" s="319">
        <f>VLOOKUP(E1,Data!$A:$B,2, FALSE)</f>
        <v>2</v>
      </c>
    </row>
    <row r="2" spans="1:9" ht="15" thickBot="1">
      <c r="A2" s="500" t="s">
        <v>3958</v>
      </c>
    </row>
    <row r="3" spans="1:9" ht="23" thickBot="1">
      <c r="A3" s="895" t="str">
        <f>VLOOKUP("舊鎮道路",Data!$B:$D,I1,FALSE)&amp;"+"&amp;VLOOKUP("舊鎮廢墟",Data!$B:$D,I1,FALSE)</f>
        <v>旧崔斯特姆小道+旧废墟</v>
      </c>
      <c r="B3" s="896"/>
      <c r="C3" s="896"/>
      <c r="D3" s="897"/>
    </row>
    <row r="43" spans="1:4" ht="16.5">
      <c r="A43" s="501" t="s">
        <v>3956</v>
      </c>
    </row>
    <row r="44" spans="1:4" s="473" customFormat="1">
      <c r="A44" s="508" t="s">
        <v>3940</v>
      </c>
      <c r="B44" s="509" t="s">
        <v>3941</v>
      </c>
      <c r="C44" s="509" t="s">
        <v>3942</v>
      </c>
      <c r="D44" s="510" t="s">
        <v>3943</v>
      </c>
    </row>
    <row r="45" spans="1:4">
      <c r="A45" s="893" t="s">
        <v>3926</v>
      </c>
      <c r="B45" s="893"/>
      <c r="C45" s="893"/>
      <c r="D45" s="893"/>
    </row>
    <row r="46" spans="1:4">
      <c r="A46" s="504" t="s">
        <v>3936</v>
      </c>
      <c r="B46" s="81" t="s">
        <v>3932</v>
      </c>
      <c r="C46" s="80" t="str">
        <f>VLOOKUP("井底洞穴",Data!$B:$D,I1,FALSE)</f>
        <v>井下洞穴</v>
      </c>
      <c r="D46" s="81"/>
    </row>
    <row r="47" spans="1:4">
      <c r="A47" s="504" t="s">
        <v>3936</v>
      </c>
      <c r="B47" s="81" t="s">
        <v>3933</v>
      </c>
      <c r="C47" s="80" t="str">
        <f>VLOOKUP("瓦瑞夫屍體",Data!$B:$D,I1,FALSE)</f>
        <v>瓦瑞夫尸体</v>
      </c>
      <c r="D47" s="81"/>
    </row>
    <row r="48" spans="1:4">
      <c r="A48" s="504" t="s">
        <v>3936</v>
      </c>
      <c r="B48" s="81" t="s">
        <v>3933</v>
      </c>
      <c r="C48" s="80" t="str">
        <f>VLOOKUP("冒險者屍體",Data!$B:$D,I1,FALSE)</f>
        <v>冒险者尸体</v>
      </c>
      <c r="D48" s="81"/>
    </row>
    <row r="49" spans="1:4">
      <c r="A49" s="894" t="s">
        <v>3927</v>
      </c>
      <c r="B49" s="894"/>
      <c r="C49" s="894"/>
      <c r="D49" s="894"/>
    </row>
    <row r="50" spans="1:4">
      <c r="A50" s="504" t="s">
        <v>3937</v>
      </c>
      <c r="B50" s="81" t="s">
        <v>3934</v>
      </c>
      <c r="C50" s="80" t="str">
        <f>VLOOKUP("霉臭的地窖",Data!$B:$D,I1,FALSE)</f>
        <v>发霉的地窖</v>
      </c>
      <c r="D50" s="81"/>
    </row>
    <row r="51" spans="1:4">
      <c r="A51" s="504" t="s">
        <v>3937</v>
      </c>
      <c r="B51" s="81" t="s">
        <v>3934</v>
      </c>
      <c r="C51" s="80" t="str">
        <f>VLOOKUP("潮濕的地窖",Data!$B:$D,I1,FALSE)</f>
        <v>潮湿的地窖</v>
      </c>
      <c r="D51" s="81" t="str">
        <f>"內有诅咒宝箱事件“"&amp;VLOOKUP("詛咒地窖",Data!$B:$D,I1,FALSE)&amp;"”"</f>
        <v>內有诅咒宝箱事件“诅咒地窖”</v>
      </c>
    </row>
    <row r="52" spans="1:4">
      <c r="A52" s="504" t="s">
        <v>3937</v>
      </c>
      <c r="B52" s="81" t="s">
        <v>3934</v>
      </c>
      <c r="C52" s="80" t="str">
        <f>VLOOKUP("陰冷的地窖",Data!$B:$D,I1,FALSE)</f>
        <v>阴冷的地窖</v>
      </c>
      <c r="D52" s="81"/>
    </row>
    <row r="53" spans="1:4">
      <c r="A53" s="504" t="s">
        <v>3937</v>
      </c>
      <c r="B53" s="81" t="s">
        <v>3934</v>
      </c>
      <c r="C53" s="80" t="str">
        <f>VLOOKUP("乱葬岗",Data!$B:$D,I1,FALSE)</f>
        <v>群葬坑</v>
      </c>
      <c r="D53" s="81"/>
    </row>
    <row r="54" spans="1:4">
      <c r="A54" s="898" t="s">
        <v>3928</v>
      </c>
      <c r="B54" s="898"/>
      <c r="C54" s="898"/>
      <c r="D54" s="898"/>
    </row>
    <row r="55" spans="1:4">
      <c r="A55" s="504" t="s">
        <v>3938</v>
      </c>
      <c r="B55" s="81" t="s">
        <v>3932</v>
      </c>
      <c r="C55" s="80" t="str">
        <f>VLOOKUP("歡樂谷",Data!$B:$D,I1,FALSE)</f>
        <v>奇想郡</v>
      </c>
      <c r="D55" s="81"/>
    </row>
    <row r="56" spans="1:4">
      <c r="A56" s="504" t="s">
        <v>3939</v>
      </c>
      <c r="B56" s="81" t="s">
        <v>3932</v>
      </c>
      <c r="C56" s="80" t="str">
        <f>VLOOKUP("隱秘地窖",Data!$B:$D,I1,FALSE)</f>
        <v>隐秘地窖</v>
      </c>
      <c r="D56" s="81"/>
    </row>
    <row r="57" spans="1:4">
      <c r="A57" s="504" t="s">
        <v>3939</v>
      </c>
      <c r="B57" s="81" t="s">
        <v>3932</v>
      </c>
      <c r="C57" s="80" t="str">
        <f>VLOOKUP("大教堂",Data!$B:$D,I1,FALSE)</f>
        <v>大教堂</v>
      </c>
      <c r="D57" s="81"/>
    </row>
    <row r="58" spans="1:4">
      <c r="A58" s="504" t="s">
        <v>3939</v>
      </c>
      <c r="B58" s="81" t="s">
        <v>3932</v>
      </c>
      <c r="C58" s="80" t="str">
        <f>VLOOKUP("李奧瑞克密道",Data!$B:$D,I1,FALSE)</f>
        <v>李奥瑞克密道</v>
      </c>
      <c r="D58" s="81"/>
    </row>
    <row r="59" spans="1:4">
      <c r="A59" s="890" t="s">
        <v>3929</v>
      </c>
      <c r="B59" s="890"/>
      <c r="C59" s="890"/>
      <c r="D59" s="890"/>
    </row>
    <row r="60" spans="1:4">
      <c r="A60" s="504" t="s">
        <v>3937</v>
      </c>
      <c r="B60" s="81" t="s">
        <v>3934</v>
      </c>
      <c r="C60" s="80" t="str">
        <f>VLOOKUP("幽暗的地窖",Data!$B:$D,I1,FALSE)</f>
        <v>阴暗的地窖</v>
      </c>
      <c r="D60" s="81"/>
    </row>
    <row r="61" spans="1:4">
      <c r="A61" s="891" t="s">
        <v>3930</v>
      </c>
      <c r="B61" s="891"/>
      <c r="C61" s="891"/>
      <c r="D61" s="891"/>
    </row>
    <row r="62" spans="1:4">
      <c r="A62" s="504" t="s">
        <v>3937</v>
      </c>
      <c r="B62" s="81" t="s">
        <v>3932</v>
      </c>
      <c r="C62" s="80" t="str">
        <f>VLOOKUP("品管之井",Data!$B:$D,I1,FALSE)</f>
        <v>质管之井</v>
      </c>
      <c r="D62" s="81"/>
    </row>
    <row r="63" spans="1:4">
      <c r="A63" s="902" t="s">
        <v>3931</v>
      </c>
      <c r="B63" s="902"/>
      <c r="C63" s="902"/>
      <c r="D63" s="902"/>
    </row>
    <row r="64" spans="1:4">
      <c r="A64" s="504" t="s">
        <v>3936</v>
      </c>
      <c r="B64" s="81" t="s">
        <v>3935</v>
      </c>
      <c r="C64" s="80" t="str">
        <f>VLOOKUP("老舊紀念品箱",Data!$B:$D,I1,FALSE)</f>
        <v>旧保险箱</v>
      </c>
      <c r="D64" s="81"/>
    </row>
    <row r="65" spans="1:4">
      <c r="A65" s="471"/>
    </row>
    <row r="66" spans="1:4" ht="16.5">
      <c r="A66" s="501" t="s">
        <v>3957</v>
      </c>
    </row>
    <row r="67" spans="1:4" s="473" customFormat="1">
      <c r="A67" s="502" t="s">
        <v>3948</v>
      </c>
      <c r="B67" s="503" t="s">
        <v>3946</v>
      </c>
      <c r="C67" s="503" t="s">
        <v>3947</v>
      </c>
      <c r="D67" s="503" t="s">
        <v>3949</v>
      </c>
    </row>
    <row r="68" spans="1:4">
      <c r="A68" s="504" t="s">
        <v>3944</v>
      </c>
      <c r="B68" s="81" t="s">
        <v>3945</v>
      </c>
      <c r="C68" s="80" t="str">
        <f>VLOOKUP("埃班奈澤‧山謬",Data!$B:$D,I1,FALSE)</f>
        <v>埃比尼泽‧撒母耳</v>
      </c>
      <c r="D68" s="81" t="str">
        <f>"在"&amp;VLOOKUP("舊鎮道路",Data!$B:$D,I1,FALSE)&amp;"刷新"</f>
        <v>在旧崔斯特姆小道刷新</v>
      </c>
    </row>
    <row r="70" spans="1:4" ht="15" thickBot="1"/>
    <row r="71" spans="1:4" ht="23" thickBot="1">
      <c r="A71" s="895" t="str">
        <f>VLOOKUP("悲泣荒原",Data!$B:$D,I1,FALSE)</f>
        <v>哭泣山谷</v>
      </c>
      <c r="B71" s="896"/>
      <c r="C71" s="896"/>
      <c r="D71" s="897"/>
    </row>
    <row r="111" spans="1:4" ht="16.5">
      <c r="A111" s="501" t="s">
        <v>3956</v>
      </c>
    </row>
    <row r="112" spans="1:4">
      <c r="A112" s="502" t="s">
        <v>3940</v>
      </c>
      <c r="B112" s="503" t="s">
        <v>3941</v>
      </c>
      <c r="C112" s="503" t="s">
        <v>3942</v>
      </c>
      <c r="D112" s="503" t="s">
        <v>3943</v>
      </c>
    </row>
    <row r="113" spans="1:4">
      <c r="A113" s="899" t="s">
        <v>3926</v>
      </c>
      <c r="B113" s="900"/>
      <c r="C113" s="900"/>
      <c r="D113" s="901"/>
    </row>
    <row r="114" spans="1:4">
      <c r="A114" s="511" t="s">
        <v>3936</v>
      </c>
      <c r="B114" s="81" t="s">
        <v>3932</v>
      </c>
      <c r="C114" s="80" t="str">
        <f>VLOOKUP("沉淪魔窩巢",Data!$B:$D,I1,FALSE)</f>
        <v>堕落者的洞穴</v>
      </c>
      <c r="D114" s="81"/>
    </row>
    <row r="115" spans="1:4">
      <c r="A115" s="511" t="s">
        <v>3975</v>
      </c>
      <c r="B115" s="81" t="s">
        <v>3933</v>
      </c>
      <c r="C115" s="80" t="str">
        <f>VLOOKUP("鐵匠學徒的屍體",Data!$B:$D,I1,FALSE)</f>
        <v>铁匠学徒的尸体</v>
      </c>
      <c r="D115" s="81"/>
    </row>
    <row r="116" spans="1:4">
      <c r="A116" s="511" t="s">
        <v>3936</v>
      </c>
      <c r="B116" s="81" t="s">
        <v>3933</v>
      </c>
      <c r="C116" s="80" t="str">
        <f>VLOOKUP("吊人樹",Data!$B:$D,I1,FALSE)</f>
        <v>绞刑之树</v>
      </c>
      <c r="D116" s="81"/>
    </row>
    <row r="118" spans="1:4" ht="16.5">
      <c r="A118" s="501" t="s">
        <v>3957</v>
      </c>
    </row>
    <row r="119" spans="1:4">
      <c r="A119" s="502" t="s">
        <v>3948</v>
      </c>
      <c r="B119" s="503" t="s">
        <v>3946</v>
      </c>
      <c r="C119" s="503" t="s">
        <v>3947</v>
      </c>
      <c r="D119" s="503" t="s">
        <v>3949</v>
      </c>
    </row>
    <row r="120" spans="1:4">
      <c r="A120" s="504" t="s">
        <v>3944</v>
      </c>
      <c r="B120" s="81" t="s">
        <v>3976</v>
      </c>
      <c r="C120" s="80" t="str">
        <f>VLOOKUP("疥癬",Data!$B:$D,I1,FALSE)</f>
        <v>癞疥兽</v>
      </c>
      <c r="D120" s="81"/>
    </row>
    <row r="122" spans="1:4" ht="15" thickBot="1"/>
    <row r="123" spans="1:4" ht="23" thickBot="1">
      <c r="A123" s="895" t="str">
        <f>VLOOKUP("荒棄墓園",Data!$B:$D,I1,FALSE)</f>
        <v>荒废的墓地</v>
      </c>
      <c r="B123" s="896"/>
      <c r="C123" s="896"/>
      <c r="D123" s="897"/>
    </row>
    <row r="145" spans="1:4" ht="16.5">
      <c r="A145" s="501" t="s">
        <v>3956</v>
      </c>
    </row>
    <row r="146" spans="1:4">
      <c r="A146" s="505" t="s">
        <v>3940</v>
      </c>
      <c r="B146" s="506" t="s">
        <v>3941</v>
      </c>
      <c r="C146" s="506" t="s">
        <v>3942</v>
      </c>
      <c r="D146" s="507" t="s">
        <v>3943</v>
      </c>
    </row>
    <row r="147" spans="1:4">
      <c r="A147" s="903" t="s">
        <v>3926</v>
      </c>
      <c r="B147" s="904"/>
      <c r="C147" s="904"/>
      <c r="D147" s="905"/>
    </row>
    <row r="148" spans="1:4">
      <c r="A148" s="504" t="s">
        <v>4011</v>
      </c>
      <c r="B148" s="81" t="s">
        <v>4012</v>
      </c>
      <c r="C148" s="80" t="str">
        <f>VLOOKUP("被褻瀆的墓穴",Data!$B:$D,I1,FALSE)</f>
        <v>污秽的墓穴</v>
      </c>
      <c r="D148" s="81"/>
    </row>
    <row r="149" spans="1:4">
      <c r="A149" s="504" t="s">
        <v>4013</v>
      </c>
      <c r="B149" s="81" t="s">
        <v>4014</v>
      </c>
      <c r="C149" s="80" t="str">
        <f>VLOOKUP("開發者地獄",Data!$B:$D,I1,FALSE)</f>
        <v>开发者地狱</v>
      </c>
      <c r="D149" s="81"/>
    </row>
    <row r="151" spans="1:4" ht="16.5">
      <c r="A151" s="501" t="s">
        <v>3957</v>
      </c>
    </row>
    <row r="152" spans="1:4">
      <c r="A152" s="502" t="s">
        <v>3948</v>
      </c>
      <c r="B152" s="503" t="s">
        <v>3946</v>
      </c>
      <c r="C152" s="503" t="s">
        <v>3947</v>
      </c>
      <c r="D152" s="503" t="s">
        <v>3949</v>
      </c>
    </row>
    <row r="153" spans="1:4">
      <c r="A153" s="504" t="s">
        <v>3977</v>
      </c>
      <c r="B153" s="81" t="s">
        <v>3945</v>
      </c>
      <c r="C153" s="80" t="str">
        <f>VLOOKUP("墮落的魯休斯",Data!$B:$D,I1,FALSE)</f>
        <v>堕落的鲁修斯</v>
      </c>
      <c r="D153" s="81"/>
    </row>
    <row r="154" spans="1:4">
      <c r="A154" s="504" t="s">
        <v>3977</v>
      </c>
      <c r="B154" s="81" t="s">
        <v>3978</v>
      </c>
      <c r="C154" s="80" t="str">
        <f>VLOOKUP("德魯利‧布朗",Data!$B:$D,I1,FALSE)</f>
        <v>德卢瑞‧布朗</v>
      </c>
      <c r="D154" s="81" t="str">
        <f>"需进入真的"&amp;VLOOKUP("被褻瀆的墓穴",Data!$B:$D,I1,FALSE)</f>
        <v>需进入真的污秽的墓穴</v>
      </c>
    </row>
    <row r="155" spans="1:4">
      <c r="A155" s="504" t="s">
        <v>3979</v>
      </c>
      <c r="B155" s="81" t="s">
        <v>3980</v>
      </c>
      <c r="C155" s="80" t="str">
        <f>VLOOKUP("掘墓者戴塔",Data!$B:$D,I1,FALSE)</f>
        <v>数据挖掘者</v>
      </c>
      <c r="D155" s="81" t="str">
        <f>"需进入假的"&amp;VLOOKUP("被褻瀆的墓穴",Data!$B:$D,I1,FALSE)</f>
        <v>需进入假的污秽的墓穴</v>
      </c>
    </row>
    <row r="156" spans="1:4">
      <c r="A156" s="504" t="s">
        <v>3979</v>
      </c>
      <c r="B156" s="81" t="s">
        <v>3978</v>
      </c>
      <c r="C156" s="80" t="str">
        <f>VLOOKUP("[棺材板]約翰·戈罕",Data!$B:$D,I1,FALSE)</f>
        <v>棺材约翰·格汉姆</v>
      </c>
      <c r="D156" s="81" t="str">
        <f>"需进入真的"&amp;VLOOKUP("被褻瀆的墓穴",Data!$B:$D,I1,FALSE)</f>
        <v>需进入真的污秽的墓穴</v>
      </c>
    </row>
    <row r="158" spans="1:4" ht="15" thickBot="1"/>
    <row r="159" spans="1:4" ht="23" thickBot="1">
      <c r="A159" s="895" t="str">
        <f>VLOOKUP("悲慘之原",Data!$B:$D,I1,FALSE)</f>
        <v>苦难旷野</v>
      </c>
      <c r="B159" s="896"/>
      <c r="C159" s="896"/>
      <c r="D159" s="897"/>
    </row>
    <row r="208" spans="1:1" ht="16.5">
      <c r="A208" s="501" t="s">
        <v>3956</v>
      </c>
    </row>
    <row r="209" spans="1:4">
      <c r="A209" s="505" t="s">
        <v>3940</v>
      </c>
      <c r="B209" s="506" t="s">
        <v>3941</v>
      </c>
      <c r="C209" s="506" t="s">
        <v>3942</v>
      </c>
      <c r="D209" s="507" t="s">
        <v>3943</v>
      </c>
    </row>
    <row r="210" spans="1:4">
      <c r="A210" s="899" t="s">
        <v>3926</v>
      </c>
      <c r="B210" s="900"/>
      <c r="C210" s="900"/>
      <c r="D210" s="901"/>
    </row>
    <row r="211" spans="1:4">
      <c r="A211" s="511" t="s">
        <v>3975</v>
      </c>
      <c r="B211" s="81" t="s">
        <v>3962</v>
      </c>
      <c r="C211" s="80" t="str">
        <f>VLOOKUP("悲慘之原",Data!$B:$D,I1,FALSE)</f>
        <v>苦难旷野</v>
      </c>
      <c r="D211" s="81"/>
    </row>
    <row r="212" spans="1:4">
      <c r="A212" s="511" t="s">
        <v>3975</v>
      </c>
      <c r="B212" s="81" t="s">
        <v>3932</v>
      </c>
      <c r="C212" s="80" t="str">
        <f>VLOOKUP("卡茲拉窩巢",Data!$B:$D,I1,FALSE)</f>
        <v>卡兹拉洞穴</v>
      </c>
      <c r="D212" s="81"/>
    </row>
    <row r="213" spans="1:4">
      <c r="A213" s="511" t="s">
        <v>3936</v>
      </c>
      <c r="B213" s="81" t="s">
        <v>3932</v>
      </c>
      <c r="C213" s="80" t="str">
        <f>VLOOKUP("食腐獸窩巢",Data!$B:$D,I1,FALSE)</f>
        <v>食腐魔洞穴</v>
      </c>
      <c r="D213" s="81"/>
    </row>
    <row r="214" spans="1:4">
      <c r="A214" s="511" t="s">
        <v>3936</v>
      </c>
      <c r="B214" s="81" t="s">
        <v>3932</v>
      </c>
      <c r="C214" s="80" t="str">
        <f>VLOOKUP("失落礦洞 ",Data!$B:$D,I1,FALSE)</f>
        <v>失落矿洞</v>
      </c>
      <c r="D214" s="81" t="str">
        <f>"內有随机事件“"&amp;VLOOKUP("珍貴的礦脈",Data!$B:$D,I1,FALSE)&amp;"”"</f>
        <v>內有随机事件“珍贵的矿石”</v>
      </c>
    </row>
    <row r="215" spans="1:4">
      <c r="A215" s="511" t="s">
        <v>3936</v>
      </c>
      <c r="B215" s="81" t="s">
        <v>3934</v>
      </c>
      <c r="C215" s="80" t="str">
        <f>VLOOKUP("古董之家",Data!$B:$D,I1,FALSE)</f>
        <v>珍品屋</v>
      </c>
      <c r="D215" s="81" t="str">
        <f>"內有野外商人“"&amp;VLOOKUP("古董商阿德納",Data!$B:$D,I1,FALSE)&amp;"”"</f>
        <v>內有野外商人“精品商人阿迪娜”</v>
      </c>
    </row>
    <row r="216" spans="1:4">
      <c r="A216" s="906" t="s">
        <v>4039</v>
      </c>
      <c r="B216" s="907"/>
      <c r="C216" s="907"/>
      <c r="D216" s="908"/>
    </row>
    <row r="217" spans="1:4">
      <c r="A217" s="511" t="s">
        <v>3936</v>
      </c>
      <c r="B217" s="81" t="s">
        <v>3932</v>
      </c>
      <c r="C217" s="80" t="str">
        <f>VLOOKUP("腐朽的墓穴",Data!$B:$D,I1,FALSE)</f>
        <v>腐烂墓穴</v>
      </c>
      <c r="D217" s="81" t="str">
        <f>"內有随机事件“"&amp;VLOOKUP("雷斯的家人",Data!$B:$D,I1,FALSE)&amp;"”"</f>
        <v>內有随机事件“雷斯的一家”</v>
      </c>
    </row>
    <row r="218" spans="1:4">
      <c r="A218" s="511" t="s">
        <v>3936</v>
      </c>
      <c r="B218" s="81" t="s">
        <v>3963</v>
      </c>
      <c r="C218" s="80" t="str">
        <f>VLOOKUP("飛蝠農場",Data!$B:$D,I1,FALSE)</f>
        <v>清理食腐鸟</v>
      </c>
      <c r="D218" s="81"/>
    </row>
    <row r="219" spans="1:4">
      <c r="A219" s="511" t="s">
        <v>3936</v>
      </c>
      <c r="B219" s="81" t="s">
        <v>3964</v>
      </c>
      <c r="C219" s="80" t="str">
        <f>VLOOKUP("詛咒林地",Data!$B:$D,I1,FALSE)</f>
        <v>诅咒树林</v>
      </c>
      <c r="D219" s="81"/>
    </row>
    <row r="220" spans="1:4">
      <c r="A220" s="511" t="s">
        <v>3936</v>
      </c>
      <c r="B220" s="81" t="s">
        <v>3933</v>
      </c>
      <c r="C220" s="80" t="str">
        <f>VLOOKUP("廢棄農場-農夫的地窖",Data!$B:$D,I1,FALSE)</f>
        <v>荒废农地-农夫的地窖</v>
      </c>
      <c r="D220" s="81" t="str">
        <f>"內有随机事件“"&amp;VLOOKUP("被包圍的農場",Data!$B:$D,I1,FALSE)&amp;"”"</f>
        <v>內有随机事件“遭袭的农场”</v>
      </c>
    </row>
    <row r="221" spans="1:4">
      <c r="A221" s="511" t="s">
        <v>3936</v>
      </c>
      <c r="B221" s="81" t="s">
        <v>3933</v>
      </c>
      <c r="C221" s="80" t="str">
        <f>VLOOKUP("僻靜林地",Data!$B:$D,I1,FALSE)</f>
        <v>僻静林地</v>
      </c>
      <c r="D221" s="81" t="s">
        <v>4049</v>
      </c>
    </row>
    <row r="222" spans="1:4">
      <c r="A222" s="890" t="s">
        <v>4040</v>
      </c>
      <c r="B222" s="890"/>
      <c r="C222" s="890"/>
      <c r="D222" s="890"/>
    </row>
    <row r="223" spans="1:4">
      <c r="A223" s="511" t="s">
        <v>3937</v>
      </c>
      <c r="B223" s="81" t="s">
        <v>3934</v>
      </c>
      <c r="C223" s="80" t="str">
        <f>VLOOKUP("工匠的雜物間",Data!$B:$D,I1,FALSE)</f>
        <v>修补匠的茅屋</v>
      </c>
      <c r="D223" s="81" t="str">
        <f>"內有野外商人“"&amp;VLOOKUP("流浪工匠",Data!$B:$D,I1,FALSE)&amp;"”"</f>
        <v>內有野外商人“流浪修补匠”</v>
      </c>
    </row>
    <row r="224" spans="1:4">
      <c r="A224" s="511" t="s">
        <v>3937</v>
      </c>
      <c r="B224" s="81" t="s">
        <v>3934</v>
      </c>
      <c r="C224" s="80" t="str">
        <f>VLOOKUP("被洗劫的房子",Data!$B:$D,I1,FALSE)</f>
        <v>被洗劫的屋子</v>
      </c>
      <c r="D224" s="81"/>
    </row>
    <row r="225" spans="1:4">
      <c r="A225" s="511" t="s">
        <v>3937</v>
      </c>
      <c r="B225" s="81" t="s">
        <v>3961</v>
      </c>
      <c r="C225" s="80" t="str">
        <f>VLOOKUP("斯維卡德的屍體",Data!$B:$D,I1,FALSE)</f>
        <v>斯维克德的尸体</v>
      </c>
      <c r="D225" s="81"/>
    </row>
    <row r="227" spans="1:4" ht="16.5">
      <c r="A227" s="501" t="s">
        <v>3957</v>
      </c>
    </row>
    <row r="228" spans="1:4">
      <c r="A228" s="502" t="s">
        <v>3948</v>
      </c>
      <c r="B228" s="503" t="s">
        <v>3946</v>
      </c>
      <c r="C228" s="503" t="s">
        <v>3947</v>
      </c>
      <c r="D228" s="503" t="s">
        <v>3949</v>
      </c>
    </row>
    <row r="229" spans="1:4">
      <c r="A229" s="504" t="s">
        <v>3944</v>
      </c>
      <c r="B229" s="81" t="s">
        <v>3976</v>
      </c>
      <c r="C229" s="80" t="str">
        <f>VLOOKUP("恐爪躍行魔",Data!$B:$D,I1,FALSE)</f>
        <v>恐爪‧跃行者</v>
      </c>
      <c r="D229" s="81"/>
    </row>
    <row r="231" spans="1:4" ht="15" thickBot="1"/>
    <row r="232" spans="1:4" ht="23" thickBot="1">
      <c r="A232" s="895" t="str">
        <f>VLOOKUP("腐潰之林",Data!$B:$D,I1,FALSE)</f>
        <v>烂木林</v>
      </c>
      <c r="B232" s="896"/>
      <c r="C232" s="896"/>
      <c r="D232" s="897"/>
    </row>
    <row r="266" spans="1:4" ht="16.5">
      <c r="A266" s="501" t="s">
        <v>3956</v>
      </c>
    </row>
    <row r="267" spans="1:4">
      <c r="A267" s="505" t="s">
        <v>3940</v>
      </c>
      <c r="B267" s="506" t="s">
        <v>3941</v>
      </c>
      <c r="C267" s="506" t="s">
        <v>3942</v>
      </c>
      <c r="D267" s="507" t="s">
        <v>3943</v>
      </c>
    </row>
    <row r="268" spans="1:4">
      <c r="A268" s="899" t="s">
        <v>3926</v>
      </c>
      <c r="B268" s="900"/>
      <c r="C268" s="900"/>
      <c r="D268" s="901"/>
    </row>
    <row r="269" spans="1:4">
      <c r="A269" s="511" t="s">
        <v>3975</v>
      </c>
      <c r="B269" s="81" t="s">
        <v>3962</v>
      </c>
      <c r="C269" s="80" t="str">
        <f>VLOOKUP("腐潰之林",Data!$B:$D,I1,FALSE)</f>
        <v>烂木林</v>
      </c>
      <c r="D269" s="81"/>
    </row>
    <row r="270" spans="1:4">
      <c r="A270" s="511" t="s">
        <v>3936</v>
      </c>
      <c r="B270" s="81" t="s">
        <v>3963</v>
      </c>
      <c r="C270" s="80" t="str">
        <f>VLOOKUP("先祖的最後一戰",Data!$B:$D,I1,FALSE)</f>
        <v>先祖英雄之背水一战</v>
      </c>
      <c r="D270" s="81"/>
    </row>
    <row r="271" spans="1:4">
      <c r="A271" s="511" t="s">
        <v>3936</v>
      </c>
      <c r="B271" s="81" t="s">
        <v>3963</v>
      </c>
      <c r="C271" s="80" t="str">
        <f>VLOOKUP("永恆之戰",Data!$B:$D,I1,FALSE)</f>
        <v>永恒之战</v>
      </c>
      <c r="D271" s="81"/>
    </row>
    <row r="272" spans="1:4">
      <c r="A272" s="894" t="s">
        <v>3927</v>
      </c>
      <c r="B272" s="894"/>
      <c r="C272" s="894"/>
      <c r="D272" s="894"/>
    </row>
    <row r="273" spans="1:4">
      <c r="A273" s="511" t="s">
        <v>3975</v>
      </c>
      <c r="B273" s="81" t="s">
        <v>3932</v>
      </c>
      <c r="C273" s="80" t="str">
        <f>VLOOKUP("勇士之陵",Data!$B:$D,I1,FALSE)</f>
        <v>勇士之陵</v>
      </c>
      <c r="D273" s="81"/>
    </row>
    <row r="274" spans="1:4">
      <c r="A274" s="898" t="s">
        <v>3928</v>
      </c>
      <c r="B274" s="898"/>
      <c r="C274" s="898"/>
      <c r="D274" s="898"/>
    </row>
    <row r="275" spans="1:4">
      <c r="A275" s="511" t="s">
        <v>3975</v>
      </c>
      <c r="B275" s="81" t="s">
        <v>3932</v>
      </c>
      <c r="C275" s="80" t="str">
        <f>VLOOKUP("先祖墓穴",Data!$B:$D,I1,FALSE)</f>
        <v>先祖墓穴</v>
      </c>
      <c r="D275" s="81"/>
    </row>
    <row r="277" spans="1:4" ht="16.5">
      <c r="A277" s="501" t="s">
        <v>3957</v>
      </c>
    </row>
    <row r="278" spans="1:4">
      <c r="A278" s="502" t="s">
        <v>3948</v>
      </c>
      <c r="B278" s="503" t="s">
        <v>3946</v>
      </c>
      <c r="C278" s="503" t="s">
        <v>3947</v>
      </c>
      <c r="D278" s="503" t="s">
        <v>3949</v>
      </c>
    </row>
    <row r="279" spans="1:4">
      <c r="A279" s="504" t="s">
        <v>4052</v>
      </c>
      <c r="B279" s="81" t="s">
        <v>3976</v>
      </c>
      <c r="C279" s="80" t="str">
        <f>VLOOKUP("費可拉爾的鬼魂",Data!$B:$D,I1,FALSE)</f>
        <v>费克拉的鬼魂</v>
      </c>
      <c r="D279" s="81"/>
    </row>
    <row r="281" spans="1:4" ht="15" thickBot="1"/>
    <row r="282" spans="1:4" ht="23" thickBot="1">
      <c r="A282" s="895" t="str">
        <f>VLOOKUP("南部高地",Data!$B:$D,I1,FALSE)</f>
        <v>南方高地</v>
      </c>
      <c r="B282" s="896"/>
      <c r="C282" s="896"/>
      <c r="D282" s="897"/>
    </row>
    <row r="329" spans="1:4" ht="16.5">
      <c r="A329" s="501" t="s">
        <v>3956</v>
      </c>
    </row>
    <row r="330" spans="1:4">
      <c r="A330" s="505" t="s">
        <v>3940</v>
      </c>
      <c r="B330" s="506" t="s">
        <v>3941</v>
      </c>
      <c r="C330" s="506" t="s">
        <v>3942</v>
      </c>
      <c r="D330" s="507" t="s">
        <v>3943</v>
      </c>
    </row>
    <row r="331" spans="1:4">
      <c r="A331" s="899" t="s">
        <v>3926</v>
      </c>
      <c r="B331" s="900"/>
      <c r="C331" s="900"/>
      <c r="D331" s="901"/>
    </row>
    <row r="332" spans="1:4">
      <c r="A332" s="511" t="s">
        <v>3975</v>
      </c>
      <c r="B332" s="81" t="s">
        <v>3932</v>
      </c>
      <c r="C332" s="80" t="str">
        <f>VLOOKUP("月族洞穴",Data!$B:$D,I1,FALSE)</f>
        <v>月亮部族洞穴</v>
      </c>
      <c r="D332" s="81"/>
    </row>
    <row r="333" spans="1:4">
      <c r="A333" s="912" t="s">
        <v>3927</v>
      </c>
      <c r="B333" s="913"/>
      <c r="C333" s="913"/>
      <c r="D333" s="914"/>
    </row>
    <row r="334" spans="1:4">
      <c r="A334" s="511" t="s">
        <v>3937</v>
      </c>
      <c r="B334" s="81" t="s">
        <v>3932</v>
      </c>
      <c r="C334" s="80" t="str">
        <f>VLOOKUP("書院 ",Data!$B:$D,I1,FALSE)</f>
        <v>传教所</v>
      </c>
      <c r="D334" s="81" t="str">
        <f>"內有随机事件“"&amp;VLOOKUP("崩塌的塔樓",Data!$B:$D,I1,FALSE)&amp;"”"</f>
        <v>內有随机事件“崩塌之塔”</v>
      </c>
    </row>
    <row r="335" spans="1:4">
      <c r="A335" s="511" t="s">
        <v>3937</v>
      </c>
      <c r="B335" s="81" t="s">
        <v>3934</v>
      </c>
      <c r="C335" s="80" t="str">
        <f>VLOOKUP("廢棄的僕人小屋",Data!$B:$D,I1,FALSE)</f>
        <v>废弃的仆人小屋</v>
      </c>
      <c r="D335" s="81"/>
    </row>
    <row r="336" spans="1:4">
      <c r="A336" s="511" t="s">
        <v>3937</v>
      </c>
      <c r="B336" s="81" t="s">
        <v>3963</v>
      </c>
      <c r="C336" s="80" t="str">
        <f>VLOOKUP("賈巴德的復仇",Data!$B:$D,I1,FALSE)</f>
        <v>贾巴德的复仇</v>
      </c>
      <c r="D336" s="81"/>
    </row>
    <row r="337" spans="1:4">
      <c r="A337" s="511" t="s">
        <v>3937</v>
      </c>
      <c r="B337" s="81" t="s">
        <v>3964</v>
      </c>
      <c r="C337" s="80" t="str">
        <f>VLOOKUP("詛咒營地",Data!$B:$D,I1,FALSE)</f>
        <v>诅咒营地</v>
      </c>
      <c r="D337" s="81"/>
    </row>
    <row r="338" spans="1:4">
      <c r="A338" s="511" t="s">
        <v>3937</v>
      </c>
      <c r="B338" s="81" t="s">
        <v>3933</v>
      </c>
      <c r="C338" s="80" t="s">
        <v>4063</v>
      </c>
      <c r="D338" s="81"/>
    </row>
    <row r="339" spans="1:4">
      <c r="A339" s="511" t="s">
        <v>3937</v>
      </c>
      <c r="B339" s="81" t="s">
        <v>3933</v>
      </c>
      <c r="C339" s="80" t="s">
        <v>3965</v>
      </c>
      <c r="D339" s="81"/>
    </row>
    <row r="340" spans="1:4">
      <c r="A340" s="511" t="s">
        <v>3937</v>
      </c>
      <c r="B340" s="81" t="s">
        <v>3933</v>
      </c>
      <c r="C340" s="80" t="s">
        <v>3966</v>
      </c>
      <c r="D340" s="81"/>
    </row>
    <row r="341" spans="1:4">
      <c r="A341" s="915" t="s">
        <v>3928</v>
      </c>
      <c r="B341" s="916"/>
      <c r="C341" s="916"/>
      <c r="D341" s="917"/>
    </row>
    <row r="342" spans="1:4">
      <c r="A342" s="511" t="s">
        <v>3975</v>
      </c>
      <c r="B342" s="81" t="s">
        <v>3933</v>
      </c>
      <c r="C342" s="80" t="str">
        <f>VLOOKUP("卡瑞娜遺失的貨車",Data!$B:$D,I1,FALSE)</f>
        <v>卡瑞娜遗失的马车</v>
      </c>
      <c r="D342" s="81"/>
    </row>
    <row r="343" spans="1:4">
      <c r="A343" s="909" t="s">
        <v>3929</v>
      </c>
      <c r="B343" s="910"/>
      <c r="C343" s="910"/>
      <c r="D343" s="911"/>
    </row>
    <row r="344" spans="1:4">
      <c r="A344" s="511" t="s">
        <v>3937</v>
      </c>
      <c r="B344" s="81" t="s">
        <v>3933</v>
      </c>
      <c r="C344" s="80" t="s">
        <v>4064</v>
      </c>
      <c r="D344" s="81" t="s">
        <v>4217</v>
      </c>
    </row>
    <row r="345" spans="1:4">
      <c r="A345" s="918" t="s">
        <v>3930</v>
      </c>
      <c r="B345" s="919"/>
      <c r="C345" s="919"/>
      <c r="D345" s="920"/>
    </row>
    <row r="346" spans="1:4">
      <c r="A346" s="511" t="s">
        <v>3936</v>
      </c>
      <c r="B346" s="81" t="s">
        <v>3932</v>
      </c>
      <c r="C346" s="80" t="str">
        <f>VLOOKUP("瞭望塔 ",Data!$B:$D,I1,FALSE)</f>
        <v>高地哨塔</v>
      </c>
      <c r="D346" s="81" t="str">
        <f>"內有随机事件“"&amp;VLOOKUP("被偷走的劍鞘",Data!$B:$D,I1,FALSE)&amp;"”"</f>
        <v>內有随机事件“被抢走的剑鞘”</v>
      </c>
    </row>
    <row r="348" spans="1:4" ht="16.5">
      <c r="A348" s="501" t="s">
        <v>3957</v>
      </c>
    </row>
    <row r="349" spans="1:4">
      <c r="A349" s="502" t="s">
        <v>3948</v>
      </c>
      <c r="B349" s="503" t="s">
        <v>3946</v>
      </c>
      <c r="C349" s="503" t="s">
        <v>3947</v>
      </c>
      <c r="D349" s="503" t="s">
        <v>3949</v>
      </c>
    </row>
    <row r="350" spans="1:4">
      <c r="A350" s="504" t="s">
        <v>3944</v>
      </c>
      <c r="B350" s="81" t="s">
        <v>3976</v>
      </c>
      <c r="C350" s="80" t="str">
        <f>VLOOKUP("紅巨岩",Data!$B:$D,I1,FALSE)</f>
        <v>红石</v>
      </c>
      <c r="D350" s="81"/>
    </row>
    <row r="351" spans="1:4">
      <c r="A351" s="504" t="s">
        <v>3944</v>
      </c>
      <c r="B351" s="81" t="s">
        <v>3976</v>
      </c>
      <c r="C351" s="80" t="str">
        <f>VLOOKUP("戰士婁格魯克",Data!$B:$D,I1,FALSE)</f>
        <v>战士罗格鲁特</v>
      </c>
      <c r="D351" s="81" t="s">
        <v>4069</v>
      </c>
    </row>
    <row r="352" spans="1:4">
      <c r="A352" s="504" t="s">
        <v>3944</v>
      </c>
      <c r="B352" s="81" t="s">
        <v>3976</v>
      </c>
      <c r="C352" s="80" t="str">
        <f>VLOOKUP("強兵駱札克",Data!$B:$D,I1,FALSE)</f>
        <v>强大的罗扎克</v>
      </c>
      <c r="D352" s="81"/>
    </row>
    <row r="354" spans="1:4" ht="15" thickBot="1"/>
    <row r="355" spans="1:4" ht="23" thickBot="1">
      <c r="A355" s="895" t="str">
        <f>VLOOKUP("北部高地",Data!$B:$D,I1,FALSE)&amp;"+"&amp;VLOOKUP("李奧瑞克狩獵場",Data!$B:$D,I1,FALSE)</f>
        <v>北方高地+李奧瑞克的狩猎场</v>
      </c>
      <c r="B355" s="896"/>
      <c r="C355" s="896"/>
      <c r="D355" s="897"/>
    </row>
    <row r="399" spans="1:4" ht="16.5">
      <c r="A399" s="501" t="s">
        <v>3956</v>
      </c>
    </row>
    <row r="400" spans="1:4">
      <c r="A400" s="505" t="s">
        <v>3940</v>
      </c>
      <c r="B400" s="506" t="s">
        <v>3941</v>
      </c>
      <c r="C400" s="506" t="s">
        <v>3942</v>
      </c>
      <c r="D400" s="507" t="s">
        <v>3943</v>
      </c>
    </row>
    <row r="401" spans="1:4">
      <c r="A401" s="899" t="s">
        <v>3926</v>
      </c>
      <c r="B401" s="900"/>
      <c r="C401" s="900"/>
      <c r="D401" s="901"/>
    </row>
    <row r="402" spans="1:4">
      <c r="A402" s="511" t="s">
        <v>3975</v>
      </c>
      <c r="B402" s="81" t="s">
        <v>3962</v>
      </c>
      <c r="C402" s="80" t="str">
        <f>VLOOKUP("北部高地",Data!$B:$D,I1,FALSE)</f>
        <v>北方高地</v>
      </c>
      <c r="D402" s="81"/>
    </row>
    <row r="403" spans="1:4">
      <c r="A403" s="921" t="s">
        <v>3927</v>
      </c>
      <c r="B403" s="922"/>
      <c r="C403" s="922"/>
      <c r="D403" s="923"/>
    </row>
    <row r="404" spans="1:4">
      <c r="A404" s="511" t="s">
        <v>3936</v>
      </c>
      <c r="B404" s="81" t="s">
        <v>3932</v>
      </c>
      <c r="C404" s="80" t="str">
        <f>VLOOKUP("高地洞穴",Data!$B:$D,I1,FALSE)</f>
        <v>高地洞穴</v>
      </c>
      <c r="D404" s="81" t="str">
        <f>"內有随机事件“"&amp;VLOOKUP("藥劑師的兄弟",Data!$B:$D,I1,FALSE)&amp;"”"</f>
        <v>內有随机事件“药剂师的兄弟”</v>
      </c>
    </row>
    <row r="405" spans="1:4">
      <c r="A405" s="511" t="s">
        <v>3975</v>
      </c>
      <c r="B405" s="81" t="s">
        <v>3933</v>
      </c>
      <c r="C405" s="80" t="s">
        <v>3967</v>
      </c>
      <c r="D405" s="81"/>
    </row>
    <row r="406" spans="1:4">
      <c r="A406" s="924" t="s">
        <v>3931</v>
      </c>
      <c r="B406" s="925"/>
      <c r="C406" s="925"/>
      <c r="D406" s="926"/>
    </row>
    <row r="407" spans="1:4">
      <c r="A407" s="511" t="s">
        <v>3938</v>
      </c>
      <c r="B407" s="81" t="s">
        <v>3961</v>
      </c>
      <c r="C407" s="80" t="str">
        <f>VLOOKUP("沃薩姆居民的屍體",Data!$B:$D,I1,FALSE)</f>
        <v>沃桑村民尸体</v>
      </c>
      <c r="D407" s="81" t="str">
        <f>"点击获得书籍“"&amp;VLOOKUP("來自沃薩姆的報告",Data!$B:$D,I1,FALSE)&amp;"”"</f>
        <v>点击获得书籍“来自沃桑的报告”</v>
      </c>
    </row>
    <row r="410" spans="1:4" ht="15" thickBot="1">
      <c r="A410" s="500" t="s">
        <v>3607</v>
      </c>
    </row>
    <row r="411" spans="1:4" ht="23" thickBot="1">
      <c r="A411" s="927" t="str">
        <f>VLOOKUP("嚎泣高原",Data!$B:$D,I1,FALSE)&amp;"+"&amp;VLOOKUP("黑谷礦坑",Data!$B:$D,I1,FALSE)</f>
        <v>凄风苔原+崖山矿场</v>
      </c>
      <c r="B411" s="928"/>
      <c r="C411" s="928"/>
      <c r="D411" s="929"/>
    </row>
    <row r="457" spans="1:4" ht="16.5">
      <c r="A457" s="501" t="s">
        <v>3956</v>
      </c>
    </row>
    <row r="458" spans="1:4">
      <c r="A458" s="505" t="s">
        <v>3940</v>
      </c>
      <c r="B458" s="506" t="s">
        <v>3941</v>
      </c>
      <c r="C458" s="506" t="s">
        <v>3942</v>
      </c>
      <c r="D458" s="507" t="s">
        <v>3943</v>
      </c>
    </row>
    <row r="459" spans="1:4">
      <c r="A459" s="899" t="s">
        <v>3926</v>
      </c>
      <c r="B459" s="900"/>
      <c r="C459" s="900"/>
      <c r="D459" s="901"/>
    </row>
    <row r="460" spans="1:4">
      <c r="A460" s="512" t="s">
        <v>3936</v>
      </c>
      <c r="B460" s="96" t="s">
        <v>3932</v>
      </c>
      <c r="C460" s="95" t="str">
        <f>VLOOKUP("熱風洞穴",Data!$B:$D,I1,FALSE)</f>
        <v>热风洞窟</v>
      </c>
      <c r="D460" s="96"/>
    </row>
    <row r="461" spans="1:4">
      <c r="A461" s="512" t="s">
        <v>3936</v>
      </c>
      <c r="B461" s="96" t="s">
        <v>3932</v>
      </c>
      <c r="C461" s="95" t="str">
        <f>VLOOKUP("廢棄的礦道",Data!$B:$D,I1,FALSE)</f>
        <v>废弃的矿场</v>
      </c>
      <c r="D461" s="96" t="str">
        <f>"內有随机事件“"&amp;VLOOKUP("拉庫尼的巢穴",Data!$B:$D,I1,FALSE)&amp;"”"</f>
        <v>內有随机事件“豹人巢穴”</v>
      </c>
    </row>
    <row r="462" spans="1:4">
      <c r="A462" s="512" t="s">
        <v>3936</v>
      </c>
      <c r="B462" s="96" t="s">
        <v>3932</v>
      </c>
      <c r="C462" s="95" t="str">
        <f>VLOOKUP("崩塌的洞窟",Data!$B:$D,I1,FALSE)</f>
        <v>不稳岩洞</v>
      </c>
      <c r="D462" s="96" t="s">
        <v>6061</v>
      </c>
    </row>
    <row r="463" spans="1:4">
      <c r="A463" s="921" t="s">
        <v>3959</v>
      </c>
      <c r="B463" s="922"/>
      <c r="C463" s="922"/>
      <c r="D463" s="923"/>
    </row>
    <row r="464" spans="1:4">
      <c r="A464" s="512" t="s">
        <v>3937</v>
      </c>
      <c r="B464" s="96" t="s">
        <v>3934</v>
      </c>
      <c r="C464" s="95" t="str">
        <f>VLOOKUP("福奧德的地窖",Data!$B:$D,I1,FALSE)</f>
        <v>福阿德的地窖</v>
      </c>
      <c r="D464" s="96"/>
    </row>
    <row r="465" spans="1:4">
      <c r="A465" s="512" t="s">
        <v>3937</v>
      </c>
      <c r="B465" s="96" t="s">
        <v>3963</v>
      </c>
      <c r="C465" s="95" t="str">
        <f>VLOOKUP("礦工的金幣",Data!$B:$D,I1,FALSE)</f>
        <v>矿工的黄金</v>
      </c>
      <c r="D465" s="96"/>
    </row>
    <row r="466" spans="1:4">
      <c r="A466" s="512" t="s">
        <v>3937</v>
      </c>
      <c r="B466" s="96" t="s">
        <v>3964</v>
      </c>
      <c r="C466" s="95" t="str">
        <f>VLOOKUP("詛咒哨站",Data!$B:$D,I1,FALSE)</f>
        <v>诅咒岗哨</v>
      </c>
      <c r="D466" s="96"/>
    </row>
    <row r="467" spans="1:4">
      <c r="A467" s="512" t="s">
        <v>3937</v>
      </c>
      <c r="B467" s="96" t="s">
        <v>3964</v>
      </c>
      <c r="C467" s="95" t="str">
        <f>VLOOKUP("詛咒城垛",Data!$B:$D,I1,FALSE)</f>
        <v>诅咒城垛</v>
      </c>
      <c r="D467" s="96"/>
    </row>
    <row r="468" spans="1:4">
      <c r="A468" s="909" t="s">
        <v>3929</v>
      </c>
      <c r="B468" s="910"/>
      <c r="C468" s="910"/>
      <c r="D468" s="911"/>
    </row>
    <row r="469" spans="1:4">
      <c r="A469" s="512" t="s">
        <v>3975</v>
      </c>
      <c r="B469" s="96" t="s">
        <v>3934</v>
      </c>
      <c r="C469" s="95" t="str">
        <f>VLOOKUP("隱密會所",Data!$B:$D,I1,FALSE)</f>
        <v>隐秘法会</v>
      </c>
      <c r="D469" s="96"/>
    </row>
    <row r="470" spans="1:4">
      <c r="A470" s="918" t="s">
        <v>3930</v>
      </c>
      <c r="B470" s="919"/>
      <c r="C470" s="919"/>
      <c r="D470" s="920"/>
    </row>
    <row r="471" spans="1:4">
      <c r="A471" s="512" t="s">
        <v>3975</v>
      </c>
      <c r="B471" s="96" t="s">
        <v>3934</v>
      </c>
      <c r="C471" s="95" t="str">
        <f>VLOOKUP("秘密祭壇",Data!$B:$D,I1,FALSE)</f>
        <v>秘密祭坛</v>
      </c>
      <c r="D471" s="96"/>
    </row>
    <row r="472" spans="1:4">
      <c r="A472" s="915" t="s">
        <v>3928</v>
      </c>
      <c r="B472" s="916"/>
      <c r="C472" s="916"/>
      <c r="D472" s="917"/>
    </row>
    <row r="473" spans="1:4" ht="29">
      <c r="A473" s="512" t="s">
        <v>3937</v>
      </c>
      <c r="B473" s="96" t="s">
        <v>3934</v>
      </c>
      <c r="C473" s="95" t="str">
        <f>VLOOKUP("遺棄的地窖",Data!$B:$D,I1,FALSE)</f>
        <v>遗弃的地窖</v>
      </c>
      <c r="D473" s="149" t="str">
        <f>"仅出现在上方地窖：野外商人"&amp;VLOOKUP("菈娜",Data!$B:$D,I1,FALSE)&amp;"、变身的邪教徒紫怪"
&amp;CHAR(10)&amp;"仅出现在下方地窖："&amp;VLOOKUP("鑽岩蟲隧道",Data!$B:$D,I1,FALSE)&amp;"，击杀随机刷新的紫怪后出现"</f>
        <v>仅出现在上方地窖：野外商人莱拉、变身的邪教徒紫怪
仅出现在下方地窖：岩虫隧道，击杀随机刷新的紫怪后出现</v>
      </c>
    </row>
    <row r="474" spans="1:4">
      <c r="A474" s="930" t="s">
        <v>3960</v>
      </c>
      <c r="B474" s="931"/>
      <c r="C474" s="931"/>
      <c r="D474" s="932"/>
    </row>
    <row r="475" spans="1:4">
      <c r="A475" s="512" t="s">
        <v>3937</v>
      </c>
      <c r="B475" s="96" t="s">
        <v>3934</v>
      </c>
      <c r="C475" s="95" t="str">
        <f>VLOOKUP("血腥地窖",Data!$B:$D,I1,FALSE)</f>
        <v>鲜血地窖</v>
      </c>
      <c r="D475" s="96"/>
    </row>
    <row r="477" spans="1:4" ht="16.5">
      <c r="A477" s="501" t="s">
        <v>3957</v>
      </c>
    </row>
    <row r="478" spans="1:4">
      <c r="A478" s="502" t="s">
        <v>3948</v>
      </c>
      <c r="B478" s="503" t="s">
        <v>3946</v>
      </c>
      <c r="C478" s="503" t="s">
        <v>3947</v>
      </c>
      <c r="D478" s="503" t="s">
        <v>3949</v>
      </c>
    </row>
    <row r="479" spans="1:4">
      <c r="A479" s="513" t="s">
        <v>3944</v>
      </c>
      <c r="B479" s="96" t="s">
        <v>3976</v>
      </c>
      <c r="C479" s="95" t="str">
        <f>VLOOKUP("阿胥克",Data!$B:$D,I1,FALSE)</f>
        <v>阿什克</v>
      </c>
      <c r="D479" s="96" t="str">
        <f>"在上方的"&amp;VLOOKUP("黑谷礦坑",Data!$B:$D,I1,FALSE)&amp;"刷新"</f>
        <v>在上方的崖山矿场刷新</v>
      </c>
    </row>
    <row r="480" spans="1:4">
      <c r="A480" s="513" t="s">
        <v>3944</v>
      </c>
      <c r="B480" s="96" t="s">
        <v>3976</v>
      </c>
      <c r="C480" s="95" t="str">
        <f>VLOOKUP("剃刃嘴",Data!$B:$D,I1,FALSE)</f>
        <v>利刃巨口</v>
      </c>
      <c r="D480" s="96" t="str">
        <f>"在上方的"&amp;VLOOKUP("黑谷礦坑",Data!$B:$D,I1,FALSE)&amp;"刷新"</f>
        <v>在上方的崖山矿场刷新</v>
      </c>
    </row>
    <row r="481" spans="1:4">
      <c r="A481" s="513" t="s">
        <v>3944</v>
      </c>
      <c r="B481" s="96" t="s">
        <v>3976</v>
      </c>
      <c r="C481" s="95" t="str">
        <f>VLOOKUP("瘋子加特",Data!$B:$D,I1,FALSE)</f>
        <v>疯子加特</v>
      </c>
      <c r="D481" s="96" t="str">
        <f>"在下方的"&amp;VLOOKUP("嚎泣高原",Data!$B:$D,I1,FALSE)&amp;"刷新"</f>
        <v>在下方的凄风苔原刷新</v>
      </c>
    </row>
    <row r="482" spans="1:4">
      <c r="A482" s="513" t="s">
        <v>3944</v>
      </c>
      <c r="B482" s="96" t="s">
        <v>3976</v>
      </c>
      <c r="C482" s="95" t="str">
        <f>VLOOKUP("狂刀手煞哈",Data!$B:$D,I1,FALSE)</f>
        <v>萨哈‧鞭笞者</v>
      </c>
      <c r="D482" s="96" t="str">
        <f>"在下方的"&amp;VLOOKUP("嚎泣高原",Data!$B:$D,I1,FALSE)&amp;"刷新"</f>
        <v>在下方的凄风苔原刷新</v>
      </c>
    </row>
    <row r="484" spans="1:4" ht="15" thickBot="1"/>
    <row r="485" spans="1:4" ht="23" thickBot="1">
      <c r="A485" s="927" t="str">
        <f>VLOOKUP("刺風沙漠",Data!$B:$D,I1,FALSE)</f>
        <v>烈风之地</v>
      </c>
      <c r="B485" s="928"/>
      <c r="C485" s="928"/>
      <c r="D485" s="929"/>
    </row>
    <row r="521" spans="1:4" ht="16.5">
      <c r="A521" s="501" t="s">
        <v>3956</v>
      </c>
    </row>
    <row r="522" spans="1:4">
      <c r="A522" s="505" t="s">
        <v>3940</v>
      </c>
      <c r="B522" s="506" t="s">
        <v>3941</v>
      </c>
      <c r="C522" s="506" t="s">
        <v>3942</v>
      </c>
      <c r="D522" s="507" t="s">
        <v>3943</v>
      </c>
    </row>
    <row r="523" spans="1:4">
      <c r="A523" s="899" t="s">
        <v>3926</v>
      </c>
      <c r="B523" s="900"/>
      <c r="C523" s="900"/>
      <c r="D523" s="901"/>
    </row>
    <row r="524" spans="1:4">
      <c r="A524" s="512" t="s">
        <v>3936</v>
      </c>
      <c r="B524" s="96" t="s">
        <v>3932</v>
      </c>
      <c r="C524" s="95" t="str">
        <f>VLOOKUP("廢墟",Data!$B:$D,I1,FALSE)</f>
        <v>废墟</v>
      </c>
      <c r="D524" s="96"/>
    </row>
    <row r="525" spans="1:4">
      <c r="A525" s="512" t="s">
        <v>3936</v>
      </c>
      <c r="B525" s="96" t="s">
        <v>3932</v>
      </c>
      <c r="C525" s="95" t="str">
        <f>VLOOKUP("失落塑像之室",Data!$B:$D,I1,FALSE)</f>
        <v>失落人偶的密厅</v>
      </c>
      <c r="D525" s="96" t="str">
        <f>"內有随机事件“"&amp;VLOOKUP("里格納爾塑像",Data!$B:$D,I1,FALSE)&amp;"”"</f>
        <v>內有随机事件“雷格纳人偶”</v>
      </c>
    </row>
    <row r="526" spans="1:4">
      <c r="A526" s="512" t="s">
        <v>3936</v>
      </c>
      <c r="B526" s="96" t="s">
        <v>3932</v>
      </c>
      <c r="C526" s="95" t="str">
        <f>VLOOKUP("崩塌的寶庫",Data!$B:$D,I1,FALSE)</f>
        <v>崩裂密室</v>
      </c>
      <c r="D526" s="96" t="str">
        <f>"內有随机事件“"&amp;VLOOKUP("崩塌的寶庫",Data!$B:$D,I1,FALSE)&amp;"”"</f>
        <v>內有随机事件“崩裂密室”</v>
      </c>
    </row>
    <row r="527" spans="1:4">
      <c r="A527" s="512" t="s">
        <v>3936</v>
      </c>
      <c r="B527" s="96" t="s">
        <v>3933</v>
      </c>
      <c r="C527" s="95" t="s">
        <v>4093</v>
      </c>
      <c r="D527" s="96" t="str">
        <f>"可获得书籍“"&amp;VLOOKUP("令人畏懼的英雄",Data!$B:$D,I1,FALSE)&amp;"”"</f>
        <v>可获得书籍“畏惧的英雄”</v>
      </c>
    </row>
    <row r="528" spans="1:4">
      <c r="A528" s="512" t="s">
        <v>3936</v>
      </c>
      <c r="B528" s="96" t="s">
        <v>3933</v>
      </c>
      <c r="C528" s="95" t="s">
        <v>4111</v>
      </c>
      <c r="D528" s="96" t="s">
        <v>4114</v>
      </c>
    </row>
    <row r="529" spans="1:4">
      <c r="A529" s="512" t="s">
        <v>3936</v>
      </c>
      <c r="B529" s="96" t="s">
        <v>3933</v>
      </c>
      <c r="C529" s="95" t="s">
        <v>4112</v>
      </c>
      <c r="D529" s="96" t="s">
        <v>4113</v>
      </c>
    </row>
    <row r="530" spans="1:4">
      <c r="A530" s="921" t="s">
        <v>3959</v>
      </c>
      <c r="B530" s="922"/>
      <c r="C530" s="922"/>
      <c r="D530" s="923"/>
    </row>
    <row r="531" spans="1:4">
      <c r="A531" s="512" t="s">
        <v>3936</v>
      </c>
      <c r="B531" s="96" t="s">
        <v>3932</v>
      </c>
      <c r="C531" s="95" t="str">
        <f>VLOOKUP("哈迪的礦坑",Data!$B:$D,I1,FALSE)</f>
        <v>哈迪霸占的矿坑</v>
      </c>
      <c r="D531" s="96"/>
    </row>
    <row r="532" spans="1:4">
      <c r="A532" s="512" t="s">
        <v>3936</v>
      </c>
      <c r="B532" s="96" t="s">
        <v>3963</v>
      </c>
      <c r="C532" s="95" t="str">
        <f>VLOOKUP("動盪的沙塵",Data!$B:$D,I1,FALSE)</f>
        <v>躁怒沙漠</v>
      </c>
      <c r="D532" s="96"/>
    </row>
    <row r="533" spans="1:4">
      <c r="A533" s="512" t="s">
        <v>3936</v>
      </c>
      <c r="B533" s="96" t="s">
        <v>3963</v>
      </c>
      <c r="C533" s="95" t="str">
        <f>VLOOKUP("守護者之魂",Data!$B:$D,I1,FALSE)</f>
        <v>守护者之魂</v>
      </c>
      <c r="D533" s="96"/>
    </row>
    <row r="534" spans="1:4">
      <c r="A534" s="512" t="s">
        <v>3936</v>
      </c>
      <c r="B534" s="96" t="s">
        <v>3934</v>
      </c>
      <c r="C534" s="95" t="str">
        <f>VLOOKUP("廢棄的地窖",Data!$B:$D,I1,FALSE)</f>
        <v>废弃的地窖</v>
      </c>
      <c r="D534" s="96"/>
    </row>
    <row r="535" spans="1:4">
      <c r="A535" s="512" t="s">
        <v>3936</v>
      </c>
      <c r="B535" s="96" t="s">
        <v>3933</v>
      </c>
      <c r="C535" s="95" t="str">
        <f>VLOOKUP("遺失的商隊",Data!$B:$D,I1,FALSE)</f>
        <v>失落的车队</v>
      </c>
      <c r="D535" s="96" t="str">
        <f>"内有成就紫怪“"&amp;VLOOKUP("畢亞特",Data!$B:$D,I1,FALSE)&amp;"”"</f>
        <v>内有成就紫怪“比亚特”</v>
      </c>
    </row>
    <row r="536" spans="1:4">
      <c r="A536" s="512" t="s">
        <v>3936</v>
      </c>
      <c r="B536" s="96" t="s">
        <v>3933</v>
      </c>
      <c r="C536" s="95" t="s">
        <v>4100</v>
      </c>
      <c r="D536" s="96"/>
    </row>
    <row r="537" spans="1:4">
      <c r="A537" s="909" t="s">
        <v>3929</v>
      </c>
      <c r="B537" s="910"/>
      <c r="C537" s="910"/>
      <c r="D537" s="911"/>
    </row>
    <row r="538" spans="1:4">
      <c r="A538" s="512" t="s">
        <v>3938</v>
      </c>
      <c r="B538" s="96" t="s">
        <v>3934</v>
      </c>
      <c r="C538" s="95" t="str">
        <f>VLOOKUP("指揮所",Data!$B:$D,I1,FALSE)</f>
        <v>指挥所</v>
      </c>
      <c r="D538" s="96"/>
    </row>
    <row r="540" spans="1:4" ht="16.5">
      <c r="A540" s="501" t="s">
        <v>3957</v>
      </c>
    </row>
    <row r="541" spans="1:4">
      <c r="A541" s="502" t="s">
        <v>3948</v>
      </c>
      <c r="B541" s="503" t="s">
        <v>3946</v>
      </c>
      <c r="C541" s="503" t="s">
        <v>3947</v>
      </c>
      <c r="D541" s="503" t="s">
        <v>3949</v>
      </c>
    </row>
    <row r="542" spans="1:4">
      <c r="A542" s="513" t="s">
        <v>3944</v>
      </c>
      <c r="B542" s="96" t="s">
        <v>4115</v>
      </c>
      <c r="C542" s="95" t="str">
        <f>VLOOKUP("畢亞特",Data!$B:$D,I1,FALSE)</f>
        <v>比亚特</v>
      </c>
      <c r="D542" s="96" t="str">
        <f>"在篮框地形“"&amp;VLOOKUP("遺失的商隊",Data!$B:$D,I1,FALSE)&amp;"”处刷新"</f>
        <v>在篮框地形“失落的车队”处刷新</v>
      </c>
    </row>
    <row r="544" spans="1:4" ht="15" thickBot="1"/>
    <row r="545" spans="1:4" ht="23" thickBot="1">
      <c r="A545" s="927" t="str">
        <f>VLOOKUP("奧卡納斯",Data!$B:$D,I1,FALSE)</f>
        <v>阿尔卡纳斯</v>
      </c>
      <c r="B545" s="928"/>
      <c r="C545" s="928"/>
      <c r="D545" s="929"/>
    </row>
    <row r="573" spans="1:4" ht="16.5">
      <c r="A573" s="501" t="s">
        <v>3956</v>
      </c>
    </row>
    <row r="574" spans="1:4">
      <c r="A574" s="505" t="s">
        <v>3940</v>
      </c>
      <c r="B574" s="506" t="s">
        <v>3941</v>
      </c>
      <c r="C574" s="506" t="s">
        <v>3942</v>
      </c>
      <c r="D574" s="507" t="s">
        <v>3943</v>
      </c>
    </row>
    <row r="575" spans="1:4">
      <c r="A575" s="933" t="s">
        <v>3926</v>
      </c>
      <c r="B575" s="934"/>
      <c r="C575" s="934"/>
      <c r="D575" s="935"/>
    </row>
    <row r="576" spans="1:4">
      <c r="A576" s="512" t="s">
        <v>3937</v>
      </c>
      <c r="B576" s="96" t="s">
        <v>3934</v>
      </c>
      <c r="C576" s="95" t="str">
        <f>VLOOKUP("奧卡納斯地窖",Data!$B:$D,I1,FALSE)</f>
        <v>阿尔卡纳斯地窖</v>
      </c>
      <c r="D576" s="96"/>
    </row>
    <row r="577" spans="1:4">
      <c r="A577" s="909" t="s">
        <v>3929</v>
      </c>
      <c r="B577" s="910"/>
      <c r="C577" s="910"/>
      <c r="D577" s="911"/>
    </row>
    <row r="578" spans="1:4">
      <c r="A578" s="512" t="s">
        <v>3937</v>
      </c>
      <c r="B578" s="96" t="s">
        <v>3934</v>
      </c>
      <c r="C578" s="95" t="str">
        <f>VLOOKUP("沙漠地窖",Data!$B:$D,I1,FALSE)</f>
        <v>沙化地窖</v>
      </c>
      <c r="D578" s="96"/>
    </row>
    <row r="579" spans="1:4">
      <c r="A579" s="918" t="s">
        <v>3930</v>
      </c>
      <c r="B579" s="919"/>
      <c r="C579" s="919"/>
      <c r="D579" s="920"/>
    </row>
    <row r="580" spans="1:4">
      <c r="A580" s="512" t="s">
        <v>3937</v>
      </c>
      <c r="B580" s="96" t="s">
        <v>3934</v>
      </c>
      <c r="C580" s="95" t="str">
        <f>VLOOKUP("城鎮地窖",Data!$B:$D,I1,FALSE)</f>
        <v>城镇地窖</v>
      </c>
      <c r="D580" s="96"/>
    </row>
    <row r="581" spans="1:4">
      <c r="A581" s="915" t="s">
        <v>3928</v>
      </c>
      <c r="B581" s="916"/>
      <c r="C581" s="916"/>
      <c r="D581" s="917"/>
    </row>
    <row r="582" spans="1:4">
      <c r="A582" s="512" t="s">
        <v>3938</v>
      </c>
      <c r="B582" s="96" t="s">
        <v>3934</v>
      </c>
      <c r="C582" s="95" t="str">
        <f>VLOOKUP("女巫巢穴",Data!$B:$D,I1,FALSE)</f>
        <v>巫婆老巢</v>
      </c>
      <c r="D582" s="96"/>
    </row>
    <row r="584" spans="1:4" ht="16.5">
      <c r="A584" s="501" t="s">
        <v>3957</v>
      </c>
    </row>
    <row r="585" spans="1:4">
      <c r="A585" s="502" t="s">
        <v>3948</v>
      </c>
      <c r="B585" s="503" t="s">
        <v>3946</v>
      </c>
      <c r="C585" s="503" t="s">
        <v>3947</v>
      </c>
      <c r="D585" s="503" t="s">
        <v>3949</v>
      </c>
    </row>
    <row r="586" spans="1:4">
      <c r="A586" s="513" t="s">
        <v>3944</v>
      </c>
      <c r="B586" s="96" t="s">
        <v>3980</v>
      </c>
      <c r="C586" s="95" t="str">
        <f>VLOOKUP("葉什",Data!$B:$D,I1,FALSE)</f>
        <v>耶特</v>
      </c>
      <c r="D586" s="96" t="str">
        <f>"在左侧"&amp;VLOOKUP("奧卡納斯之路",Data!$B:$D,I1,FALSE)&amp;"刷新"</f>
        <v>在左侧阿尔卡纳斯之路刷新</v>
      </c>
    </row>
    <row r="587" spans="1:4">
      <c r="A587" s="513" t="s">
        <v>3944</v>
      </c>
      <c r="B587" s="96" t="s">
        <v>3980</v>
      </c>
      <c r="C587" s="95" t="str">
        <f>VLOOKUP("狂戰士夏馬",Data!$B:$D,I1,FALSE)</f>
        <v>狠砸怪</v>
      </c>
      <c r="D587" s="96" t="str">
        <f>"在右侧"&amp;VLOOKUP("奧卡納斯",Data!$B:$D,I1,FALSE)&amp;"刷新"</f>
        <v>在右侧阿尔卡纳斯刷新</v>
      </c>
    </row>
    <row r="588" spans="1:4">
      <c r="A588" s="513" t="s">
        <v>3944</v>
      </c>
      <c r="B588" s="96" t="s">
        <v>3980</v>
      </c>
      <c r="C588" s="95" t="str">
        <f>VLOOKUP("大祭司穆朵斯",Data!$B:$D,I1,FALSE)</f>
        <v>高阶邪教徒墨杜斯</v>
      </c>
      <c r="D588" s="96" t="str">
        <f>"在右侧"&amp;VLOOKUP("奧卡納斯",Data!$B:$D,I1,FALSE)&amp;"刷新"</f>
        <v>在右侧阿尔卡纳斯刷新</v>
      </c>
    </row>
    <row r="589" spans="1:4">
      <c r="A589" s="513" t="s">
        <v>3944</v>
      </c>
      <c r="B589" s="96" t="s">
        <v>3980</v>
      </c>
      <c r="C589" s="95" t="str">
        <f>VLOOKUP("祈求者尚達爾",Data!$B:$D,I1,FALSE)</f>
        <v>唤魔师尚达尔</v>
      </c>
      <c r="D589" s="96" t="str">
        <f>"在右侧"&amp;VLOOKUP("奧卡納斯",Data!$B:$D,I1,FALSE)&amp;"刷新"</f>
        <v>在右侧阿尔卡纳斯刷新</v>
      </c>
    </row>
    <row r="591" spans="1:4" ht="15" thickBot="1"/>
    <row r="592" spans="1:4" ht="23" thickBot="1">
      <c r="A592" s="927" t="str">
        <f>VLOOKUP("達厄古綠洲",Data!$B:$D,I1,FALSE)</f>
        <v>达尔格绿洲</v>
      </c>
      <c r="B592" s="928"/>
      <c r="C592" s="928"/>
      <c r="D592" s="929"/>
    </row>
    <row r="632" spans="1:4" ht="16.5">
      <c r="A632" s="501" t="s">
        <v>3956</v>
      </c>
    </row>
    <row r="633" spans="1:4">
      <c r="A633" s="505" t="s">
        <v>3940</v>
      </c>
      <c r="B633" s="506" t="s">
        <v>3941</v>
      </c>
      <c r="C633" s="506" t="s">
        <v>3942</v>
      </c>
      <c r="D633" s="507" t="s">
        <v>3943</v>
      </c>
    </row>
    <row r="634" spans="1:4">
      <c r="A634" s="933" t="s">
        <v>3926</v>
      </c>
      <c r="B634" s="934"/>
      <c r="C634" s="934"/>
      <c r="D634" s="935"/>
    </row>
    <row r="635" spans="1:4">
      <c r="A635" s="512" t="s">
        <v>3975</v>
      </c>
      <c r="B635" s="96" t="s">
        <v>3962</v>
      </c>
      <c r="C635" s="96" t="str">
        <f>VLOOKUP("達厄古綠洲",Data!$B:$D,I1,FALSE)</f>
        <v>达尔格绿洲</v>
      </c>
      <c r="D635" s="96"/>
    </row>
    <row r="636" spans="1:4">
      <c r="A636" s="512" t="s">
        <v>3975</v>
      </c>
      <c r="B636" s="96" t="s">
        <v>3932</v>
      </c>
      <c r="C636" s="96" t="str">
        <f>VLOOKUP("遺忘廢墟",Data!$B:$D,I1,FALSE)</f>
        <v>被遗忘的废墟</v>
      </c>
      <c r="D636" s="96"/>
    </row>
    <row r="637" spans="1:4">
      <c r="A637" s="512" t="s">
        <v>3936</v>
      </c>
      <c r="B637" s="96" t="s">
        <v>3932</v>
      </c>
      <c r="C637" s="96" t="str">
        <f>VLOOKUP("古老的洞穴",Data!$B:$D,I1,FALSE)</f>
        <v>远古洞穴</v>
      </c>
      <c r="D637" s="96"/>
    </row>
    <row r="638" spans="1:4">
      <c r="A638" s="512" t="s">
        <v>3936</v>
      </c>
      <c r="B638" s="96" t="s">
        <v>3932</v>
      </c>
      <c r="C638" s="96" t="str">
        <f>VLOOKUP("積水的洞穴",Data!$B:$D,I1,FALSE)</f>
        <v>漫水洞穴</v>
      </c>
      <c r="D638" s="96" t="str">
        <f>"一层有诅咒宝箱事件“"&amp;VLOOKUP("詛咒淺灘",Data!$B:$D,I1,FALSE)&amp;"”"</f>
        <v>一层有诅咒宝箱事件“诅咒浅滩”</v>
      </c>
    </row>
    <row r="639" spans="1:4">
      <c r="A639" s="512" t="s">
        <v>3936</v>
      </c>
      <c r="B639" s="96" t="s">
        <v>3932</v>
      </c>
      <c r="C639" s="96" t="str">
        <f>VLOOKUP("沙爾達陵墓",Data!$B:$D,I1,FALSE)</f>
        <v>萨达尔的墓穴</v>
      </c>
      <c r="D639" s="96" t="str">
        <f>"內有随机事件“"&amp;VLOOKUP("沙爾達陵墓",Data!$B:$D,I1,FALSE)&amp;"”"</f>
        <v>內有随机事件“萨达尔的墓穴”</v>
      </c>
    </row>
    <row r="640" spans="1:4">
      <c r="A640" s="512" t="s">
        <v>3936</v>
      </c>
      <c r="B640" s="96" t="s">
        <v>3933</v>
      </c>
      <c r="C640" s="96" t="s">
        <v>4126</v>
      </c>
      <c r="D640" s="96" t="str">
        <f>"埋伏有紫怪“"&amp;VLOOKUP("費祖爾",Data!$B:$D,I1,FALSE)&amp;"”"</f>
        <v>埋伏有紫怪“遍布尸骨的水池 埋伏有紫怪“菲祖尔”</v>
      </c>
    </row>
    <row r="641" spans="1:4">
      <c r="A641" s="512" t="s">
        <v>3936</v>
      </c>
      <c r="B641" s="96" t="s">
        <v>3933</v>
      </c>
      <c r="C641" s="96" t="s">
        <v>3968</v>
      </c>
      <c r="D641" s="96"/>
    </row>
    <row r="642" spans="1:4">
      <c r="A642" s="921" t="s">
        <v>3959</v>
      </c>
      <c r="B642" s="922"/>
      <c r="C642" s="922"/>
      <c r="D642" s="923"/>
    </row>
    <row r="643" spans="1:4">
      <c r="A643" s="512" t="s">
        <v>3936</v>
      </c>
      <c r="B643" s="96" t="s">
        <v>3932</v>
      </c>
      <c r="C643" s="96" t="str">
        <f>VLOOKUP("達卡布可汗的陵墓",Data!$B:$D,I1,FALSE)</f>
        <v>坎·达卡布的陵墓</v>
      </c>
      <c r="D643" s="96" t="str">
        <f>"內有随机事件“"&amp;VLOOKUP("達卡布可汗失落的寶藏",Data!$B:$D,I1,FALSE)&amp;"”"</f>
        <v>內有随机事件“失落的坎·达卡布财宝”</v>
      </c>
    </row>
    <row r="644" spans="1:4">
      <c r="A644" s="512" t="s">
        <v>3936</v>
      </c>
      <c r="B644" s="96" t="s">
        <v>3963</v>
      </c>
      <c r="C644" s="96" t="str">
        <f>VLOOKUP("拉卡尼休聖壇",Data!$B:$D,I1,FALSE)</f>
        <v>拉卡尼休的圣坛</v>
      </c>
      <c r="D644" s="96"/>
    </row>
    <row r="645" spans="1:4">
      <c r="A645" s="512" t="s">
        <v>3936</v>
      </c>
      <c r="B645" s="96" t="s">
        <v>3963</v>
      </c>
      <c r="C645" s="96" t="str">
        <f>VLOOKUP("卡米爾的囚犯",Data!$B:$D,I1,FALSE)</f>
        <v>卡麦尔的囚犯</v>
      </c>
      <c r="D645" s="96"/>
    </row>
    <row r="646" spans="1:4">
      <c r="A646" s="512" t="s">
        <v>3936</v>
      </c>
      <c r="B646" s="96" t="s">
        <v>3933</v>
      </c>
      <c r="C646" s="96" t="s">
        <v>3969</v>
      </c>
      <c r="D646" s="96"/>
    </row>
    <row r="647" spans="1:4">
      <c r="A647" s="512" t="s">
        <v>3936</v>
      </c>
      <c r="B647" s="96" t="s">
        <v>3933</v>
      </c>
      <c r="C647" s="96" t="s">
        <v>3970</v>
      </c>
      <c r="D647" s="96"/>
    </row>
    <row r="648" spans="1:4">
      <c r="A648" s="909" t="s">
        <v>3929</v>
      </c>
      <c r="B648" s="910"/>
      <c r="C648" s="910"/>
      <c r="D648" s="911"/>
    </row>
    <row r="649" spans="1:4">
      <c r="A649" s="512" t="s">
        <v>3936</v>
      </c>
      <c r="B649" s="96" t="s">
        <v>3934</v>
      </c>
      <c r="C649" s="96" t="str">
        <f>VLOOKUP("腐朽的地窖",Data!$B:$D,I1,FALSE)</f>
        <v>腐烂的地窖</v>
      </c>
      <c r="D649" s="96"/>
    </row>
    <row r="650" spans="1:4">
      <c r="A650" s="512" t="s">
        <v>3936</v>
      </c>
      <c r="B650" s="96" t="s">
        <v>3934</v>
      </c>
      <c r="C650" s="96" t="str">
        <f>VLOOKUP("被洗劫的地窖",Data!$B:$D,I1,FALSE)</f>
        <v>被洗劫的地窖</v>
      </c>
      <c r="D650" s="96"/>
    </row>
    <row r="651" spans="1:4">
      <c r="A651" s="918" t="s">
        <v>3930</v>
      </c>
      <c r="B651" s="919"/>
      <c r="C651" s="919"/>
      <c r="D651" s="920"/>
    </row>
    <row r="652" spans="1:4">
      <c r="A652" s="512" t="s">
        <v>3937</v>
      </c>
      <c r="B652" s="96" t="s">
        <v>3934</v>
      </c>
      <c r="C652" s="96" t="str">
        <f>VLOOKUP("神秘的洞穴",Data!$B:$D,I1,FALSE)</f>
        <v>神秘洞穴</v>
      </c>
      <c r="D652" s="96" t="str">
        <f>"门口有被怪物围攻的野外商人"&amp;VLOOKUP("煉金師札梵",Data!$B:$D,I1,FALSE)</f>
        <v>门口有被怪物围攻的野外商人炼金师萨文</v>
      </c>
    </row>
    <row r="653" spans="1:4">
      <c r="A653" s="915" t="s">
        <v>3928</v>
      </c>
      <c r="B653" s="916"/>
      <c r="C653" s="916"/>
      <c r="D653" s="917"/>
    </row>
    <row r="654" spans="1:4">
      <c r="A654" s="512" t="s">
        <v>3937</v>
      </c>
      <c r="B654" s="96" t="s">
        <v>3934</v>
      </c>
      <c r="C654" s="96" t="str">
        <f>VLOOKUP("储物窖",Data!$B:$D,I1,FALSE)</f>
        <v>储藏地窖</v>
      </c>
      <c r="D654" s="96"/>
    </row>
    <row r="655" spans="1:4">
      <c r="A655" s="512" t="s">
        <v>3937</v>
      </c>
      <c r="B655" s="96" t="s">
        <v>3934</v>
      </c>
      <c r="C655" s="96" t="str">
        <f>VLOOKUP("老漁夫的地窖",Data!$B:$D,I1,FALSE)</f>
        <v>老渔夫的地窖</v>
      </c>
      <c r="D655" s="96"/>
    </row>
    <row r="656" spans="1:4">
      <c r="A656" s="512" t="s">
        <v>3937</v>
      </c>
      <c r="B656" s="96" t="s">
        <v>3934</v>
      </c>
      <c r="C656" s="96" t="str">
        <f>VLOOKUP("暴風地窖",Data!$B:$D,I1,FALSE)</f>
        <v>风暴地窖</v>
      </c>
      <c r="D656" s="96"/>
    </row>
    <row r="657" spans="1:4">
      <c r="A657" s="512" t="s">
        <v>3937</v>
      </c>
      <c r="B657" s="96" t="s">
        <v>3934</v>
      </c>
      <c r="C657" s="96" t="str">
        <f>VLOOKUP("濕沼地窖",Data!$B:$D,I1,FALSE)</f>
        <v>浸水地窖</v>
      </c>
      <c r="D657" s="96"/>
    </row>
    <row r="658" spans="1:4">
      <c r="A658" s="930" t="s">
        <v>3960</v>
      </c>
      <c r="B658" s="931"/>
      <c r="C658" s="931"/>
      <c r="D658" s="932"/>
    </row>
    <row r="659" spans="1:4">
      <c r="A659" s="512" t="s">
        <v>3938</v>
      </c>
      <c r="B659" s="96" t="s">
        <v>3932</v>
      </c>
      <c r="C659" s="96" t="str">
        <f>VLOOKUP("遠古水道",Data!$B:$D,I1,FALSE)</f>
        <v>远古水道</v>
      </c>
      <c r="D659" s="96"/>
    </row>
    <row r="661" spans="1:4" ht="16.5">
      <c r="A661" s="501" t="s">
        <v>3957</v>
      </c>
    </row>
    <row r="662" spans="1:4">
      <c r="A662" s="502" t="s">
        <v>3948</v>
      </c>
      <c r="B662" s="503" t="s">
        <v>3946</v>
      </c>
      <c r="C662" s="503" t="s">
        <v>3947</v>
      </c>
      <c r="D662" s="503" t="s">
        <v>3949</v>
      </c>
    </row>
    <row r="663" spans="1:4">
      <c r="A663" s="513" t="s">
        <v>3944</v>
      </c>
      <c r="B663" s="96" t="s">
        <v>3980</v>
      </c>
      <c r="C663" s="95" t="str">
        <f>VLOOKUP("托爾撒",Data!$B:$D,I1,FALSE)</f>
        <v>托沙尔</v>
      </c>
      <c r="D663" s="96"/>
    </row>
    <row r="664" spans="1:4">
      <c r="A664" s="513" t="s">
        <v>4160</v>
      </c>
      <c r="B664" s="96" t="s">
        <v>3980</v>
      </c>
      <c r="C664" s="95" t="str">
        <f>VLOOKUP("巴希歐克",Data!$B:$D,I1,FALSE)</f>
        <v>毕叔</v>
      </c>
      <c r="D664" s="96"/>
    </row>
    <row r="666" spans="1:4" ht="15" thickBot="1"/>
    <row r="667" spans="1:4" ht="23" thickBot="1">
      <c r="A667" s="927" t="str">
        <f>VLOOKUP("淒涼沙地",Data!$B:$D,I1,FALSE)</f>
        <v>凄凉沙漠</v>
      </c>
      <c r="B667" s="928"/>
      <c r="C667" s="928"/>
      <c r="D667" s="929"/>
    </row>
    <row r="716" spans="1:4" ht="16.5">
      <c r="A716" s="501" t="s">
        <v>3956</v>
      </c>
    </row>
    <row r="717" spans="1:4">
      <c r="A717" s="505" t="s">
        <v>3940</v>
      </c>
      <c r="B717" s="506" t="s">
        <v>3941</v>
      </c>
      <c r="C717" s="506" t="s">
        <v>3942</v>
      </c>
      <c r="D717" s="507" t="s">
        <v>3943</v>
      </c>
    </row>
    <row r="718" spans="1:4">
      <c r="A718" s="933" t="s">
        <v>3926</v>
      </c>
      <c r="B718" s="934"/>
      <c r="C718" s="934"/>
      <c r="D718" s="935"/>
    </row>
    <row r="719" spans="1:4">
      <c r="A719" s="512" t="s">
        <v>3975</v>
      </c>
      <c r="B719" s="96" t="s">
        <v>3962</v>
      </c>
      <c r="C719" s="96" t="str">
        <f>VLOOKUP("淒涼沙地",Data!$B:$D,I1,FALSE)</f>
        <v>凄凉沙漠</v>
      </c>
      <c r="D719" s="96"/>
    </row>
    <row r="720" spans="1:4">
      <c r="A720" s="512" t="s">
        <v>3975</v>
      </c>
      <c r="B720" s="96" t="s">
        <v>3932</v>
      </c>
      <c r="C720" s="96" t="str">
        <f>VLOOKUP("刺客地庫",Data!$B:$D,I1,FALSE)</f>
        <v>刺客密室</v>
      </c>
      <c r="D720" s="96" t="str">
        <f>"内有诅咒宝箱事件“"&amp;VLOOKUP("詛咒秘庫",Data!$B:$D,I1,FALSE)&amp;"”"</f>
        <v>内有诅咒宝箱事件“诅咒图书馆”</v>
      </c>
    </row>
    <row r="721" spans="1:6">
      <c r="A721" s="512" t="s">
        <v>3975</v>
      </c>
      <c r="B721" s="96" t="s">
        <v>3932</v>
      </c>
      <c r="C721" s="96" t="str">
        <f>VLOOKUP("背叛者洞穴",Data!$B:$D,I1,FALSE)</f>
        <v>背叛者洞穴</v>
      </c>
      <c r="D721" s="96"/>
    </row>
    <row r="722" spans="1:6">
      <c r="A722" s="512" t="s">
        <v>3936</v>
      </c>
      <c r="B722" s="96" t="s">
        <v>3932</v>
      </c>
      <c r="C722" s="96" t="str">
        <f>VLOOKUP("兇邪的洞穴",Data!$B:$D,I1,FALSE)</f>
        <v>邪恶洞窟</v>
      </c>
      <c r="D722" s="96"/>
    </row>
    <row r="723" spans="1:6">
      <c r="A723" s="512" t="s">
        <v>3936</v>
      </c>
      <c r="B723" s="96" t="s">
        <v>3932</v>
      </c>
      <c r="C723" s="96" t="str">
        <f>VLOOKUP("鑽岩怪洞穴",Data!$B:$D,I1,FALSE)</f>
        <v>掘地骇物的洞穴</v>
      </c>
      <c r="D723" s="96" t="str">
        <f>"击杀紫怪“"&amp;VLOOKUP("蟲母契貚",Data!$B:$D,I1,FALSE)&amp;"”后出现"</f>
        <v>击杀紫怪“巢穴魔母”后出现</v>
      </c>
      <c r="F723" s="685" t="s">
        <v>6909</v>
      </c>
    </row>
    <row r="724" spans="1:6">
      <c r="A724" s="512" t="s">
        <v>3936</v>
      </c>
      <c r="B724" s="96" t="s">
        <v>3933</v>
      </c>
      <c r="C724" s="96" t="s">
        <v>4161</v>
      </c>
      <c r="D724" s="96" t="s">
        <v>4182</v>
      </c>
      <c r="F724" s="685" t="s">
        <v>6910</v>
      </c>
    </row>
    <row r="725" spans="1:6">
      <c r="A725" s="512" t="s">
        <v>3936</v>
      </c>
      <c r="B725" s="96" t="s">
        <v>3933</v>
      </c>
      <c r="C725" s="96" t="s">
        <v>4162</v>
      </c>
      <c r="D725" s="96" t="str">
        <f>"靠近后会遭遇紫怪“"&amp;VLOOKUP("九蟆",Data!$B:$D,I1,FALSE)&amp;"”"</f>
        <v>靠近后会遭遇紫怪“九蟾恶尸”</v>
      </c>
      <c r="F725" s="685" t="s">
        <v>6911</v>
      </c>
    </row>
    <row r="726" spans="1:6">
      <c r="A726" s="921" t="s">
        <v>3959</v>
      </c>
      <c r="B726" s="922"/>
      <c r="C726" s="922"/>
      <c r="D726" s="923"/>
      <c r="F726" s="685" t="s">
        <v>6912</v>
      </c>
    </row>
    <row r="727" spans="1:6">
      <c r="A727" s="512" t="s">
        <v>3936</v>
      </c>
      <c r="B727" s="96" t="s">
        <v>3933</v>
      </c>
      <c r="C727" s="96" t="str">
        <f>VLOOKUP("古老的装置",Data!$B:$D,I1,FALSE)</f>
        <v>上古装置</v>
      </c>
      <c r="D727" s="96" t="str">
        <f>"共10种，用于完成成就“"&amp;VLOOKUP("悲運之輪",Data!$B:$D,I1,FALSE)&amp;"”"</f>
        <v>共10种，用于完成成就“灾难之轮”</v>
      </c>
      <c r="E727" s="669"/>
      <c r="F727" s="685" t="s">
        <v>6913</v>
      </c>
    </row>
    <row r="728" spans="1:6">
      <c r="A728" s="512" t="s">
        <v>3936</v>
      </c>
      <c r="B728" s="96" t="s">
        <v>3933</v>
      </c>
      <c r="C728" s="96" t="s">
        <v>3971</v>
      </c>
      <c r="D728" s="96"/>
      <c r="F728" s="685" t="s">
        <v>6914</v>
      </c>
    </row>
    <row r="729" spans="1:6">
      <c r="A729" s="512" t="s">
        <v>3936</v>
      </c>
      <c r="B729" s="96" t="s">
        <v>3933</v>
      </c>
      <c r="C729" s="96" t="s">
        <v>3972</v>
      </c>
      <c r="D729" s="96"/>
      <c r="F729" s="685" t="s">
        <v>6915</v>
      </c>
    </row>
    <row r="730" spans="1:6">
      <c r="A730" s="909" t="s">
        <v>3929</v>
      </c>
      <c r="B730" s="910"/>
      <c r="C730" s="910"/>
      <c r="D730" s="911"/>
      <c r="F730" s="685" t="s">
        <v>6916</v>
      </c>
    </row>
    <row r="731" spans="1:6">
      <c r="A731" s="512" t="s">
        <v>3938</v>
      </c>
      <c r="B731" s="96" t="s">
        <v>3932</v>
      </c>
      <c r="C731" s="96" t="str">
        <f>VLOOKUP("佐敦庫勒秘庫",Data!$B:$D,I1,FALSE)</f>
        <v>佐敦·库勒藏书馆</v>
      </c>
      <c r="D731" s="96"/>
      <c r="F731" s="685" t="s">
        <v>6917</v>
      </c>
    </row>
    <row r="732" spans="1:6">
      <c r="F732" s="685" t="s">
        <v>6918</v>
      </c>
    </row>
    <row r="733" spans="1:6" ht="16.5">
      <c r="A733" s="501" t="s">
        <v>3957</v>
      </c>
    </row>
    <row r="734" spans="1:6">
      <c r="A734" s="502" t="s">
        <v>3948</v>
      </c>
      <c r="B734" s="503" t="s">
        <v>3946</v>
      </c>
      <c r="C734" s="503" t="s">
        <v>3947</v>
      </c>
      <c r="D734" s="503" t="s">
        <v>3949</v>
      </c>
    </row>
    <row r="735" spans="1:6">
      <c r="A735" s="513" t="s">
        <v>3944</v>
      </c>
      <c r="B735" s="96" t="s">
        <v>3980</v>
      </c>
      <c r="C735" s="95" t="str">
        <f>VLOOKUP("血羽",Data!$B:$D,I1,FALSE)</f>
        <v>血羽</v>
      </c>
      <c r="D735" s="96"/>
    </row>
    <row r="736" spans="1:6">
      <c r="A736" s="513" t="s">
        <v>3944</v>
      </c>
      <c r="B736" s="96" t="s">
        <v>3980</v>
      </c>
      <c r="C736" s="95" t="str">
        <f>VLOOKUP("惡毒的雷哈",Data!$B:$D,I1,FALSE)</f>
        <v>凶恶的莱哈</v>
      </c>
      <c r="D736" s="96"/>
    </row>
    <row r="737" spans="1:4">
      <c r="A737" s="513" t="s">
        <v>3944</v>
      </c>
      <c r="B737" s="96" t="s">
        <v>3980</v>
      </c>
      <c r="C737" s="95" t="str">
        <f>VLOOKUP("魔嬰布拉格",Data!$B:$D,I1,FALSE)</f>
        <v>顽魔布拉戈</v>
      </c>
      <c r="D737" s="96"/>
    </row>
    <row r="740" spans="1:4" ht="15" thickBot="1">
      <c r="A740" s="500" t="s">
        <v>3608</v>
      </c>
    </row>
    <row r="741" spans="1:4" ht="23" thickBot="1">
      <c r="A741" s="936" t="str">
        <f>VLOOKUP("戰場",Data!$B:$D,I1,FALSE)&amp;"+"&amp;VLOOKUP("殺戮戰場",Data!$B:$D,I1,FALSE)</f>
        <v>战场+血腥战场</v>
      </c>
      <c r="B741" s="937"/>
      <c r="C741" s="937"/>
      <c r="D741" s="938"/>
    </row>
    <row r="779" spans="1:4" ht="16.5">
      <c r="A779" s="501" t="s">
        <v>3956</v>
      </c>
    </row>
    <row r="780" spans="1:4">
      <c r="A780" s="505" t="s">
        <v>3940</v>
      </c>
      <c r="B780" s="506" t="s">
        <v>3941</v>
      </c>
      <c r="C780" s="506" t="s">
        <v>3942</v>
      </c>
      <c r="D780" s="507" t="s">
        <v>3943</v>
      </c>
    </row>
    <row r="781" spans="1:4">
      <c r="A781" s="933" t="s">
        <v>3926</v>
      </c>
      <c r="B781" s="934"/>
      <c r="C781" s="934"/>
      <c r="D781" s="935"/>
    </row>
    <row r="782" spans="1:4">
      <c r="A782" s="515" t="s">
        <v>3936</v>
      </c>
      <c r="B782" s="217" t="s">
        <v>3932</v>
      </c>
      <c r="C782" s="217" t="str">
        <f>VLOOKUP("前线兵营",Data!$B:$D,I1,FALSE)</f>
        <v>先锋军营房</v>
      </c>
      <c r="D782" s="217"/>
    </row>
    <row r="783" spans="1:4">
      <c r="A783" s="515" t="s">
        <v>3936</v>
      </c>
      <c r="B783" s="217" t="s">
        <v>3963</v>
      </c>
      <c r="C783" s="217" t="str">
        <f>VLOOKUP("戰爭浪潮",Data!$B:$D,I1,FALSE)</f>
        <v>力挽狂澜</v>
      </c>
      <c r="D783" s="217"/>
    </row>
    <row r="784" spans="1:4">
      <c r="A784" s="515" t="s">
        <v>3936</v>
      </c>
      <c r="B784" s="217" t="s">
        <v>3963</v>
      </c>
      <c r="C784" s="217" t="str">
        <f>VLOOKUP("防守醫療站",Data!$B:$D,I1,FALSE)</f>
        <v>防守医疗站</v>
      </c>
      <c r="D784" s="217"/>
    </row>
    <row r="785" spans="1:4">
      <c r="A785" s="921" t="s">
        <v>3959</v>
      </c>
      <c r="B785" s="922"/>
      <c r="C785" s="922"/>
      <c r="D785" s="923"/>
    </row>
    <row r="786" spans="1:4">
      <c r="A786" s="515" t="s">
        <v>3937</v>
      </c>
      <c r="B786" s="217" t="s">
        <v>3932</v>
      </c>
      <c r="C786" s="217" t="str">
        <f>VLOOKUP("戰場儲藏所",Data!$B:$D,I1,FALSE)</f>
        <v>战备物资储藏室</v>
      </c>
      <c r="D786" s="217"/>
    </row>
    <row r="787" spans="1:4">
      <c r="A787" s="515" t="s">
        <v>3937</v>
      </c>
      <c r="B787" s="217" t="s">
        <v>3932</v>
      </c>
      <c r="C787" s="217" t="str">
        <f>VLOOKUP("克萊德哨站",Data!$B:$D,I1,FALSE)</f>
        <v>克莱德的哨所</v>
      </c>
      <c r="D787" s="217"/>
    </row>
    <row r="788" spans="1:4">
      <c r="A788" s="515" t="s">
        <v>3937</v>
      </c>
      <c r="B788" s="217" t="s">
        <v>3932</v>
      </c>
      <c r="C788" s="217" t="str">
        <f>VLOOKUP("鑄造廠",Data!$B:$D,I1,FALSE)</f>
        <v>铸造间</v>
      </c>
      <c r="D788" s="217" t="str">
        <f>"一层有野外商人"&amp;VLOOKUP("煉金師哈爾米",Data!$B:$D,I1,FALSE)</f>
        <v>一层有野外商人炼金师哈尔敏</v>
      </c>
    </row>
    <row r="789" spans="1:4">
      <c r="A789" s="909" t="s">
        <v>3929</v>
      </c>
      <c r="B789" s="910"/>
      <c r="C789" s="910"/>
      <c r="D789" s="911"/>
    </row>
    <row r="790" spans="1:4" ht="29">
      <c r="A790" s="515" t="s">
        <v>3975</v>
      </c>
      <c r="B790" s="217" t="s">
        <v>3932</v>
      </c>
      <c r="C790" s="217" t="s">
        <v>3973</v>
      </c>
      <c r="D790" s="280" t="str">
        <f>"1、"&amp;VLOOKUP("寒霜洞窟",Data!$B:$D,I1,FALSE)
&amp;CHAR(10)&amp;"2、"&amp;VLOOKUP("落冰洞穴",Data!$B:$D,I1,FALSE)&amp;" 一层有诅咒宝箱事件“"&amp;VLOOKUP("詛咒冰川",Data!$B:$D,I1,FALSE)&amp;"”"</f>
        <v>1、寒冰洞
2、冰瀑洞穴 一层有诅咒宝箱事件“诅咒冰川”</v>
      </c>
    </row>
    <row r="791" spans="1:4">
      <c r="A791" s="515" t="s">
        <v>3975</v>
      </c>
      <c r="B791" s="217" t="s">
        <v>3933</v>
      </c>
      <c r="C791" s="217" t="str">
        <f>VLOOKUP("惡魔弩砲",Data!$B:$D,I1,FALSE)</f>
        <v>恶魔弩炮</v>
      </c>
      <c r="D791" s="217" t="s">
        <v>4202</v>
      </c>
    </row>
    <row r="792" spans="1:4">
      <c r="A792" s="915" t="s">
        <v>3928</v>
      </c>
      <c r="B792" s="916"/>
      <c r="C792" s="916"/>
      <c r="D792" s="917"/>
    </row>
    <row r="793" spans="1:4">
      <c r="A793" s="515" t="s">
        <v>3937</v>
      </c>
      <c r="B793" s="217" t="s">
        <v>3932</v>
      </c>
      <c r="C793" s="217" t="str">
        <f>VLOOKUP("兵營",Data!$B:$D,I1,FALSE)</f>
        <v>营房</v>
      </c>
      <c r="D793" s="217" t="str">
        <f>"二层有事件“"&amp;VLOOKUP("血之羈絆",Data!$B:$D,I1,FALSE)&amp;"”"</f>
        <v>二层有事件“血脉相连”</v>
      </c>
    </row>
    <row r="794" spans="1:4">
      <c r="A794" s="515" t="s">
        <v>3937</v>
      </c>
      <c r="B794" s="217" t="s">
        <v>3932</v>
      </c>
      <c r="C794" s="217" t="str">
        <f>VLOOKUP("防禦碉堡",Data!$B:$D,I1,FALSE)</f>
        <v>坚固的地堡</v>
      </c>
      <c r="D794" s="217"/>
    </row>
    <row r="795" spans="1:4">
      <c r="A795" s="918" t="s">
        <v>3930</v>
      </c>
      <c r="B795" s="919"/>
      <c r="C795" s="919"/>
      <c r="D795" s="920"/>
    </row>
    <row r="796" spans="1:4">
      <c r="A796" s="515" t="s">
        <v>3938</v>
      </c>
      <c r="B796" s="217" t="s">
        <v>3974</v>
      </c>
      <c r="C796" s="217" t="str">
        <f>VLOOKUP("戍衛要塞堡壘",Data!$B:$D,I1,FALSE)</f>
        <v>巴斯廷要塞据点</v>
      </c>
      <c r="D796" s="217"/>
    </row>
    <row r="798" spans="1:4" ht="16.5">
      <c r="A798" s="501" t="s">
        <v>3957</v>
      </c>
    </row>
    <row r="799" spans="1:4">
      <c r="A799" s="502" t="s">
        <v>3948</v>
      </c>
      <c r="B799" s="503" t="s">
        <v>3946</v>
      </c>
      <c r="C799" s="503" t="s">
        <v>3947</v>
      </c>
      <c r="D799" s="503" t="s">
        <v>3949</v>
      </c>
    </row>
    <row r="800" spans="1:4">
      <c r="A800" s="516" t="s">
        <v>3944</v>
      </c>
      <c r="B800" s="217" t="s">
        <v>3980</v>
      </c>
      <c r="C800" s="223" t="str">
        <f>VLOOKUP("懼握",Data!$B:$D,I1,FALSE)</f>
        <v>死亡缠须</v>
      </c>
      <c r="D800" s="217" t="str">
        <f>"在下方的"&amp;VLOOKUP("戰場",Data!$B:$D,I1,FALSE)&amp;"刷新"</f>
        <v>在下方的战场刷新</v>
      </c>
    </row>
    <row r="801" spans="1:4">
      <c r="A801" s="516" t="s">
        <v>3944</v>
      </c>
      <c r="B801" s="217" t="s">
        <v>3980</v>
      </c>
      <c r="C801" s="223" t="str">
        <f>VLOOKUP("魔怪梅沙克",Data!$B:$D,I1,FALSE)</f>
        <v>墨沙克‧天谴之躯</v>
      </c>
      <c r="D801" s="217" t="str">
        <f>"在下方的"&amp;VLOOKUP("戰場",Data!$B:$D,I1,FALSE)&amp;"刷新"</f>
        <v>在下方的战场刷新</v>
      </c>
    </row>
    <row r="802" spans="1:4">
      <c r="A802" s="516" t="s">
        <v>3944</v>
      </c>
      <c r="B802" s="217" t="s">
        <v>4115</v>
      </c>
      <c r="C802" s="223" t="str">
        <f>VLOOKUP("邪惡的布拉格",Data!$B:$D,I1,FALSE)</f>
        <v>污秽的布拉格</v>
      </c>
      <c r="D802" s="217" t="str">
        <f>"在中间的"&amp;VLOOKUP("科斯克橋",Data!$B:$D,I1,FALSE)&amp;"刷新"</f>
        <v>在中间的科尔斯克之桥刷新</v>
      </c>
    </row>
    <row r="803" spans="1:4">
      <c r="A803" s="516" t="s">
        <v>4205</v>
      </c>
      <c r="B803" s="217" t="s">
        <v>4115</v>
      </c>
      <c r="C803" s="223" t="str">
        <f>VLOOKUP("豹女奇塔拉",Data!$B:$D,I1,FALSE)</f>
        <v>琪塔拉</v>
      </c>
      <c r="D803" s="217" t="str">
        <f>"在上方的"&amp;VLOOKUP("殺戮戰場-寒霜洞窟第二層",Data!$B:$D,I1,FALSE)&amp;"刷新"</f>
        <v>在上方的血腥战场-寒冰洞二层刷新</v>
      </c>
    </row>
  </sheetData>
  <mergeCells count="63">
    <mergeCell ref="A781:D781"/>
    <mergeCell ref="A785:D785"/>
    <mergeCell ref="A789:D789"/>
    <mergeCell ref="A792:D792"/>
    <mergeCell ref="A795:D795"/>
    <mergeCell ref="A741:D741"/>
    <mergeCell ref="A592:D592"/>
    <mergeCell ref="A634:D634"/>
    <mergeCell ref="A642:D642"/>
    <mergeCell ref="A648:D648"/>
    <mergeCell ref="A651:D651"/>
    <mergeCell ref="A653:D653"/>
    <mergeCell ref="A658:D658"/>
    <mergeCell ref="A667:D667"/>
    <mergeCell ref="A718:D718"/>
    <mergeCell ref="A726:D726"/>
    <mergeCell ref="A730:D730"/>
    <mergeCell ref="A581:D581"/>
    <mergeCell ref="A470:D470"/>
    <mergeCell ref="A472:D472"/>
    <mergeCell ref="A474:D474"/>
    <mergeCell ref="A485:D485"/>
    <mergeCell ref="A523:D523"/>
    <mergeCell ref="A530:D530"/>
    <mergeCell ref="A537:D537"/>
    <mergeCell ref="A545:D545"/>
    <mergeCell ref="A575:D575"/>
    <mergeCell ref="A577:D577"/>
    <mergeCell ref="A579:D579"/>
    <mergeCell ref="A468:D468"/>
    <mergeCell ref="A272:D272"/>
    <mergeCell ref="A274:D274"/>
    <mergeCell ref="A282:D282"/>
    <mergeCell ref="A331:D331"/>
    <mergeCell ref="A355:D355"/>
    <mergeCell ref="A401:D401"/>
    <mergeCell ref="A333:D333"/>
    <mergeCell ref="A341:D341"/>
    <mergeCell ref="A343:D343"/>
    <mergeCell ref="A345:D345"/>
    <mergeCell ref="A403:D403"/>
    <mergeCell ref="A406:D406"/>
    <mergeCell ref="A411:D411"/>
    <mergeCell ref="A459:D459"/>
    <mergeCell ref="A463:D463"/>
    <mergeCell ref="A268:D268"/>
    <mergeCell ref="A63:D63"/>
    <mergeCell ref="A71:D71"/>
    <mergeCell ref="A113:D113"/>
    <mergeCell ref="A123:D123"/>
    <mergeCell ref="A147:D147"/>
    <mergeCell ref="A159:D159"/>
    <mergeCell ref="A210:D210"/>
    <mergeCell ref="A216:D216"/>
    <mergeCell ref="A222:D222"/>
    <mergeCell ref="A232:D232"/>
    <mergeCell ref="A59:D59"/>
    <mergeCell ref="A61:D61"/>
    <mergeCell ref="B1:C1"/>
    <mergeCell ref="A45:D45"/>
    <mergeCell ref="A49:D49"/>
    <mergeCell ref="A3:D3"/>
    <mergeCell ref="A54:D54"/>
  </mergeCells>
  <phoneticPr fontId="7" type="noConversion"/>
  <dataValidations count="1">
    <dataValidation type="list" allowBlank="1" showInputMessage="1" showErrorMessage="1" sqref="E1" xr:uid="{00000000-0002-0000-1300-000000000000}">
      <formula1>"繁體中文,简体中文"</formula1>
    </dataValidation>
  </dataValidations>
  <hyperlinks>
    <hyperlink ref="F1" location="大地图!A2" display="第一章" xr:uid="{00000000-0004-0000-1300-000000000000}"/>
    <hyperlink ref="G1" location="大地图!A410" display="第二章" xr:uid="{00000000-0004-0000-1300-000001000000}"/>
    <hyperlink ref="H1" location="大地图!A739" display="第三章" xr:uid="{00000000-0004-0000-1300-000002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459"/>
  <sheetViews>
    <sheetView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15"/>
  <cols>
    <col min="1" max="1" width="47" hidden="1" customWidth="1"/>
    <col min="2" max="2" width="10.58203125" style="582" customWidth="1"/>
    <col min="3" max="3" width="30.58203125" style="1" customWidth="1"/>
    <col min="4" max="4" width="5.58203125" style="582" customWidth="1"/>
    <col min="5" max="5" width="30.58203125" customWidth="1"/>
    <col min="6" max="6" width="10.58203125" style="582" customWidth="1"/>
    <col min="7" max="7" width="10.58203125" customWidth="1"/>
  </cols>
  <sheetData>
    <row r="1" spans="1:8" ht="17" thickBot="1">
      <c r="B1" s="583" t="s">
        <v>6042</v>
      </c>
      <c r="C1" s="74" t="s">
        <v>6046</v>
      </c>
      <c r="F1" s="204" t="s">
        <v>2021</v>
      </c>
      <c r="G1" s="586" t="s">
        <v>3676</v>
      </c>
      <c r="H1" s="319">
        <f>VLOOKUP(G1,Data!$A:$B,2, FALSE)</f>
        <v>2</v>
      </c>
    </row>
    <row r="2" spans="1:8" ht="17" thickBot="1">
      <c r="B2" s="75" t="s">
        <v>6045</v>
      </c>
      <c r="C2"/>
      <c r="D2"/>
      <c r="F2"/>
    </row>
    <row r="3" spans="1:8">
      <c r="A3" s="581" t="s">
        <v>4315</v>
      </c>
      <c r="B3" s="587" t="s">
        <v>5192</v>
      </c>
      <c r="C3" s="592" t="s">
        <v>6043</v>
      </c>
      <c r="D3" s="592" t="s">
        <v>5116</v>
      </c>
      <c r="E3" s="592" t="s">
        <v>6047</v>
      </c>
      <c r="F3" s="591" t="s">
        <v>6524</v>
      </c>
    </row>
    <row r="4" spans="1:8">
      <c r="A4" s="614" t="s">
        <v>4665</v>
      </c>
      <c r="B4" s="651" t="str">
        <f>VLOOKUP(A4,BountyData!$A:$K,3,FALSE)</f>
        <v>完成事件</v>
      </c>
      <c r="C4" s="652" t="str">
        <f>VLOOKUP(A4,BountyData!$A:$K,$H$1+3,FALSE)</f>
        <v>悬赏任务：药剂师的兄弟</v>
      </c>
      <c r="D4" s="593" t="str">
        <f>VLOOKUP(A4,BountyData!$A:$K,8,FALSE)</f>
        <v>A1</v>
      </c>
      <c r="E4" s="81" t="str">
        <f>VLOOKUP(A4,BountyData!$A:$K,$H$1+8,FALSE)</f>
        <v>北方高地</v>
      </c>
      <c r="F4" s="659" t="str">
        <f>VLOOKUP(A4,BountyData!$A:$K,2,FALSE)</f>
        <v>是</v>
      </c>
    </row>
    <row r="5" spans="1:8">
      <c r="A5" s="614" t="s">
        <v>4950</v>
      </c>
      <c r="B5" s="653" t="str">
        <f>VLOOKUP(A5,BountyData!$A:$K,3,FALSE)</f>
        <v>消灭紫怪</v>
      </c>
      <c r="C5" s="654" t="str">
        <f>VLOOKUP(A5,BountyData!$A:$K,$H$1+3,FALSE)</f>
        <v>悬赏任务：消灭赫鲁高·寻衅者</v>
      </c>
      <c r="D5" s="593" t="str">
        <f>VLOOKUP(A5,BountyData!$A:$K,8,FALSE)</f>
        <v>A1</v>
      </c>
      <c r="E5" s="81" t="str">
        <f>VLOOKUP(A5,BountyData!$A:$K,$H$1+8,FALSE)</f>
        <v>北方高地</v>
      </c>
      <c r="F5" s="659" t="str">
        <f>VLOOKUP(A5,BountyData!$A:$K,2,FALSE)</f>
        <v>是</v>
      </c>
    </row>
    <row r="6" spans="1:8">
      <c r="A6" s="614" t="s">
        <v>4884</v>
      </c>
      <c r="B6" s="653" t="str">
        <f>VLOOKUP(A6,BountyData!$A:$K,3,FALSE)</f>
        <v>消灭紫怪</v>
      </c>
      <c r="C6" s="654" t="str">
        <f>VLOOKUP(A6,BountyData!$A:$K,$H$1+3,FALSE)</f>
        <v>悬赏任务：消灭唤魔师杰泽布</v>
      </c>
      <c r="D6" s="593" t="str">
        <f>VLOOKUP(A6,BountyData!$A:$K,8,FALSE)</f>
        <v>A1</v>
      </c>
      <c r="E6" s="81" t="str">
        <f>VLOOKUP(A6,BountyData!$A:$K,$H$1+8,FALSE)</f>
        <v>北方高地</v>
      </c>
      <c r="F6" s="659" t="str">
        <f>VLOOKUP(A6,BountyData!$A:$K,2,FALSE)</f>
        <v>是</v>
      </c>
    </row>
    <row r="7" spans="1:8">
      <c r="A7" s="614" t="s">
        <v>4882</v>
      </c>
      <c r="B7" s="653" t="str">
        <f>VLOOKUP(A7,BountyData!$A:$K,3,FALSE)</f>
        <v>消灭紫怪</v>
      </c>
      <c r="C7" s="654" t="str">
        <f>VLOOKUP(A7,BountyData!$A:$K,$H$1+3,FALSE)</f>
        <v>悬赏任务：消灭恶毒的克莱伦</v>
      </c>
      <c r="D7" s="593" t="str">
        <f>VLOOKUP(A7,BountyData!$A:$K,8,FALSE)</f>
        <v>A1</v>
      </c>
      <c r="E7" s="81" t="str">
        <f>VLOOKUP(A7,BountyData!$A:$K,$H$1+8,FALSE)</f>
        <v>北方高地</v>
      </c>
      <c r="F7" s="659" t="str">
        <f>VLOOKUP(A7,BountyData!$A:$K,2,FALSE)</f>
        <v>是</v>
      </c>
    </row>
    <row r="8" spans="1:8">
      <c r="A8" s="614" t="s">
        <v>4954</v>
      </c>
      <c r="B8" s="653" t="str">
        <f>VLOOKUP(A8,BountyData!$A:$K,3,FALSE)</f>
        <v>消灭紫怪</v>
      </c>
      <c r="C8" s="654" t="str">
        <f>VLOOKUP(A8,BountyData!$A:$K,$H$1+3,FALSE)</f>
        <v>悬赏任务：消灭恶毒的克莱伦</v>
      </c>
      <c r="D8" s="593" t="str">
        <f>VLOOKUP(A8,BountyData!$A:$K,8,FALSE)</f>
        <v>A1</v>
      </c>
      <c r="E8" s="81" t="str">
        <f>VLOOKUP(A8,BountyData!$A:$K,$H$1+8,FALSE)</f>
        <v>北方高地</v>
      </c>
      <c r="F8" s="659" t="str">
        <f>VLOOKUP(A8,BountyData!$A:$K,2,FALSE)</f>
        <v>是</v>
      </c>
    </row>
    <row r="9" spans="1:8">
      <c r="A9" s="614" t="s">
        <v>4948</v>
      </c>
      <c r="B9" s="653" t="str">
        <f>VLOOKUP(A9,BountyData!$A:$K,3,FALSE)</f>
        <v>消灭紫怪</v>
      </c>
      <c r="C9" s="654" t="str">
        <f>VLOOKUP(A9,BountyData!$A:$K,$H$1+3,FALSE)</f>
        <v>悬赏任务：消灭可鄙的雷格瑞尔</v>
      </c>
      <c r="D9" s="593" t="str">
        <f>VLOOKUP(A9,BountyData!$A:$K,8,FALSE)</f>
        <v>A1</v>
      </c>
      <c r="E9" s="81" t="str">
        <f>VLOOKUP(A9,BountyData!$A:$K,$H$1+8,FALSE)</f>
        <v>北方高地</v>
      </c>
      <c r="F9" s="659" t="str">
        <f>VLOOKUP(A9,BountyData!$A:$K,2,FALSE)</f>
        <v>是</v>
      </c>
    </row>
    <row r="10" spans="1:8">
      <c r="A10" s="614" t="s">
        <v>4952</v>
      </c>
      <c r="B10" s="653" t="str">
        <f>VLOOKUP(A10,BountyData!$A:$K,3,FALSE)</f>
        <v>消灭紫怪</v>
      </c>
      <c r="C10" s="654" t="str">
        <f>VLOOKUP(A10,BountyData!$A:$K,$H$1+3,FALSE)</f>
        <v>悬赏任务：消灭西奥丁·死亡咏唱者</v>
      </c>
      <c r="D10" s="593" t="str">
        <f>VLOOKUP(A10,BountyData!$A:$K,8,FALSE)</f>
        <v>A1</v>
      </c>
      <c r="E10" s="81" t="str">
        <f>VLOOKUP(A10,BountyData!$A:$K,$H$1+8,FALSE)</f>
        <v>北方高地</v>
      </c>
      <c r="F10" s="659" t="str">
        <f>VLOOKUP(A10,BountyData!$A:$K,2,FALSE)</f>
        <v>是</v>
      </c>
    </row>
    <row r="11" spans="1:8">
      <c r="A11" s="614" t="s">
        <v>5019</v>
      </c>
      <c r="B11" s="651" t="str">
        <f>VLOOKUP(A11,BountyData!$A:$K,3,FALSE)</f>
        <v>完成事件</v>
      </c>
      <c r="C11" s="652" t="str">
        <f>VLOOKUP(A11,BountyData!$A:$K,$H$1+3,FALSE)</f>
        <v>悬赏任务：诅咒庭院</v>
      </c>
      <c r="D11" s="593" t="str">
        <f>VLOOKUP(A11,BountyData!$A:$K,8,FALSE)</f>
        <v>A1</v>
      </c>
      <c r="E11" s="81" t="str">
        <f>VLOOKUP(A11,BountyData!$A:$K,$H$1+8,FALSE)</f>
        <v>大教堂二层</v>
      </c>
      <c r="F11" s="659" t="str">
        <f>VLOOKUP(A11,BountyData!$A:$K,2,FALSE)</f>
        <v>是</v>
      </c>
    </row>
    <row r="12" spans="1:8">
      <c r="A12" s="614" t="s">
        <v>4770</v>
      </c>
      <c r="B12" s="653" t="str">
        <f>VLOOKUP(A12,BountyData!$A:$K,3,FALSE)</f>
        <v>消灭紫怪</v>
      </c>
      <c r="C12" s="654" t="str">
        <f>VLOOKUP(A12,BountyData!$A:$K,$H$1+3,FALSE)</f>
        <v>悬赏任务：消灭大棒刚臂</v>
      </c>
      <c r="D12" s="593" t="str">
        <f>VLOOKUP(A12,BountyData!$A:$K,8,FALSE)</f>
        <v>A1</v>
      </c>
      <c r="E12" s="81" t="str">
        <f>VLOOKUP(A12,BountyData!$A:$K,$H$1+8,FALSE)</f>
        <v>大教堂二层</v>
      </c>
      <c r="F12" s="659" t="str">
        <f>VLOOKUP(A12,BountyData!$A:$K,2,FALSE)</f>
        <v>是</v>
      </c>
    </row>
    <row r="13" spans="1:8">
      <c r="A13" s="614" t="s">
        <v>4772</v>
      </c>
      <c r="B13" s="653" t="str">
        <f>VLOOKUP(A13,BountyData!$A:$K,3,FALSE)</f>
        <v>消灭紫怪</v>
      </c>
      <c r="C13" s="654" t="str">
        <f>VLOOKUP(A13,BountyData!$A:$K,$H$1+3,FALSE)</f>
        <v>悬赏任务：消灭召火天鬼</v>
      </c>
      <c r="D13" s="593" t="str">
        <f>VLOOKUP(A13,BountyData!$A:$K,8,FALSE)</f>
        <v>A1</v>
      </c>
      <c r="E13" s="81" t="str">
        <f>VLOOKUP(A13,BountyData!$A:$K,$H$1+8,FALSE)</f>
        <v>大教堂二层</v>
      </c>
      <c r="F13" s="659" t="str">
        <f>VLOOKUP(A13,BountyData!$A:$K,2,FALSE)</f>
        <v>是</v>
      </c>
    </row>
    <row r="14" spans="1:8">
      <c r="A14" s="614" t="s">
        <v>4768</v>
      </c>
      <c r="B14" s="653" t="str">
        <f>VLOOKUP(A14,BountyData!$A:$K,3,FALSE)</f>
        <v>消灭紫怪</v>
      </c>
      <c r="C14" s="654" t="str">
        <f>VLOOKUP(A14,BountyData!$A:$K,$H$1+3,FALSE)</f>
        <v>悬赏任务：消灭莫瑞姆·棘颅</v>
      </c>
      <c r="D14" s="593" t="str">
        <f>VLOOKUP(A14,BountyData!$A:$K,8,FALSE)</f>
        <v>A1</v>
      </c>
      <c r="E14" s="81" t="str">
        <f>VLOOKUP(A14,BountyData!$A:$K,$H$1+8,FALSE)</f>
        <v>大教堂二层</v>
      </c>
      <c r="F14" s="659" t="str">
        <f>VLOOKUP(A14,BountyData!$A:$K,2,FALSE)</f>
        <v>是</v>
      </c>
    </row>
    <row r="15" spans="1:8">
      <c r="A15" s="614" t="s">
        <v>4778</v>
      </c>
      <c r="B15" s="653" t="str">
        <f>VLOOKUP(A15,BountyData!$A:$K,3,FALSE)</f>
        <v>消灭紫怪</v>
      </c>
      <c r="C15" s="654" t="str">
        <f>VLOOKUP(A15,BountyData!$A:$K,$H$1+3,FALSE)</f>
        <v>悬赏任务：消灭乱疤巨腹</v>
      </c>
      <c r="D15" s="593" t="str">
        <f>VLOOKUP(A15,BountyData!$A:$K,8,FALSE)</f>
        <v>A1</v>
      </c>
      <c r="E15" s="81" t="str">
        <f>VLOOKUP(A15,BountyData!$A:$K,$H$1+8,FALSE)</f>
        <v>大教堂四层</v>
      </c>
      <c r="F15" s="659" t="str">
        <f>VLOOKUP(A15,BountyData!$A:$K,2,FALSE)</f>
        <v>是</v>
      </c>
    </row>
    <row r="16" spans="1:8">
      <c r="A16" s="614" t="s">
        <v>4774</v>
      </c>
      <c r="B16" s="653" t="str">
        <f>VLOOKUP(A16,BountyData!$A:$K,3,FALSE)</f>
        <v>消灭紫怪</v>
      </c>
      <c r="C16" s="654" t="str">
        <f>VLOOKUP(A16,BountyData!$A:$K,$H$1+3,FALSE)</f>
        <v>悬赏任务：消灭卡奇队长</v>
      </c>
      <c r="D16" s="593" t="str">
        <f>VLOOKUP(A16,BountyData!$A:$K,8,FALSE)</f>
        <v>A1</v>
      </c>
      <c r="E16" s="81" t="str">
        <f>VLOOKUP(A16,BountyData!$A:$K,$H$1+8,FALSE)</f>
        <v>大教堂四层</v>
      </c>
      <c r="F16" s="659" t="str">
        <f>VLOOKUP(A16,BountyData!$A:$K,2,FALSE)</f>
        <v>是</v>
      </c>
    </row>
    <row r="17" spans="1:6">
      <c r="A17" s="614" t="s">
        <v>4776</v>
      </c>
      <c r="B17" s="653" t="str">
        <f>VLOOKUP(A17,BountyData!$A:$K,3,FALSE)</f>
        <v>消灭紫怪</v>
      </c>
      <c r="C17" s="654" t="str">
        <f>VLOOKUP(A17,BountyData!$A:$K,$H$1+3,FALSE)</f>
        <v>悬赏任务：消灭基利安达摩特</v>
      </c>
      <c r="D17" s="593" t="str">
        <f>VLOOKUP(A17,BountyData!$A:$K,8,FALSE)</f>
        <v>A1</v>
      </c>
      <c r="E17" s="81" t="str">
        <f>VLOOKUP(A17,BountyData!$A:$K,$H$1+8,FALSE)</f>
        <v>大教堂四层</v>
      </c>
      <c r="F17" s="659" t="str">
        <f>VLOOKUP(A17,BountyData!$A:$K,2,FALSE)</f>
        <v>是</v>
      </c>
    </row>
    <row r="18" spans="1:6">
      <c r="A18" s="614" t="s">
        <v>5021</v>
      </c>
      <c r="B18" s="651" t="str">
        <f>VLOOKUP(A18,BountyData!$A:$K,3,FALSE)</f>
        <v>完成事件</v>
      </c>
      <c r="C18" s="652" t="str">
        <f>VLOOKUP(A18,BountyData!$A:$K,$H$1+3,FALSE)</f>
        <v>悬赏任务：诅咒白骨大厅</v>
      </c>
      <c r="D18" s="593" t="str">
        <f>VLOOKUP(A18,BountyData!$A:$K,8,FALSE)</f>
        <v>A1</v>
      </c>
      <c r="E18" s="81" t="str">
        <f>VLOOKUP(A18,BountyData!$A:$K,$H$1+8,FALSE)</f>
        <v>大教堂一层</v>
      </c>
      <c r="F18" s="659" t="str">
        <f>VLOOKUP(A18,BountyData!$A:$K,2,FALSE)</f>
        <v>是</v>
      </c>
    </row>
    <row r="19" spans="1:6">
      <c r="A19" s="614" t="s">
        <v>4764</v>
      </c>
      <c r="B19" s="653" t="str">
        <f>VLOOKUP(A19,BountyData!$A:$K,3,FALSE)</f>
        <v>消灭紫怪</v>
      </c>
      <c r="C19" s="654" t="str">
        <f>VLOOKUP(A19,BountyData!$A:$K,$H$1+3,FALSE)</f>
        <v>悬赏任务：消灭布拉鲁克·格里莫劳</v>
      </c>
      <c r="D19" s="593" t="str">
        <f>VLOOKUP(A19,BountyData!$A:$K,8,FALSE)</f>
        <v>A1</v>
      </c>
      <c r="E19" s="81" t="str">
        <f>VLOOKUP(A19,BountyData!$A:$K,$H$1+8,FALSE)</f>
        <v>大教堂一层</v>
      </c>
      <c r="F19" s="659" t="str">
        <f>VLOOKUP(A19,BountyData!$A:$K,2,FALSE)</f>
        <v>是</v>
      </c>
    </row>
    <row r="20" spans="1:6">
      <c r="A20" s="614" t="s">
        <v>4766</v>
      </c>
      <c r="B20" s="653" t="str">
        <f>VLOOKUP(A20,BountyData!$A:$K,3,FALSE)</f>
        <v>消灭紫怪</v>
      </c>
      <c r="C20" s="654" t="str">
        <f>VLOOKUP(A20,BountyData!$A:$K,$H$1+3,FALSE)</f>
        <v>悬赏任务：消灭滑翼天鬼</v>
      </c>
      <c r="D20" s="593" t="str">
        <f>VLOOKUP(A20,BountyData!$A:$K,8,FALSE)</f>
        <v>A1</v>
      </c>
      <c r="E20" s="81" t="str">
        <f>VLOOKUP(A20,BountyData!$A:$K,$H$1+8,FALSE)</f>
        <v>大教堂一层</v>
      </c>
      <c r="F20" s="659" t="str">
        <f>VLOOKUP(A20,BountyData!$A:$K,2,FALSE)</f>
        <v>是</v>
      </c>
    </row>
    <row r="21" spans="1:6">
      <c r="A21" s="614" t="s">
        <v>4762</v>
      </c>
      <c r="B21" s="653" t="str">
        <f>VLOOKUP(A21,BountyData!$A:$K,3,FALSE)</f>
        <v>消灭紫怪</v>
      </c>
      <c r="C21" s="654" t="str">
        <f>VLOOKUP(A21,BountyData!$A:$K,$H$1+3,FALSE)</f>
        <v>悬赏任务：消灭拉古斯·格里莫劳</v>
      </c>
      <c r="D21" s="593" t="str">
        <f>VLOOKUP(A21,BountyData!$A:$K,8,FALSE)</f>
        <v>A1</v>
      </c>
      <c r="E21" s="81" t="str">
        <f>VLOOKUP(A21,BountyData!$A:$K,$H$1+8,FALSE)</f>
        <v>大教堂一层</v>
      </c>
      <c r="F21" s="659" t="str">
        <f>VLOOKUP(A21,BountyData!$A:$K,2,FALSE)</f>
        <v>是</v>
      </c>
    </row>
    <row r="22" spans="1:6">
      <c r="A22" s="614" t="s">
        <v>4574</v>
      </c>
      <c r="B22" s="651" t="str">
        <f>VLOOKUP(A22,BountyData!$A:$K,3,FALSE)</f>
        <v>完成事件</v>
      </c>
      <c r="C22" s="652" t="str">
        <f>VLOOKUP(A22,BountyData!$A:$K,$H$1+3,FALSE)</f>
        <v>悬赏任务：众魂罐</v>
      </c>
      <c r="D22" s="593" t="str">
        <f>VLOOKUP(A22,BountyData!$A:$K,8,FALSE)</f>
        <v>A1</v>
      </c>
      <c r="E22" s="81" t="str">
        <f>VLOOKUP(A22,BountyData!$A:$K,$H$1+8,FALSE)</f>
        <v>荒废的墓地</v>
      </c>
      <c r="F22" s="659" t="str">
        <f>VLOOKUP(A22,BountyData!$A:$K,2,FALSE)</f>
        <v>是</v>
      </c>
    </row>
    <row r="23" spans="1:6">
      <c r="A23" s="614" t="s">
        <v>4576</v>
      </c>
      <c r="B23" s="651" t="str">
        <f>VLOOKUP(A23,BountyData!$A:$K,3,FALSE)</f>
        <v>完成事件</v>
      </c>
      <c r="C23" s="652" t="str">
        <f>VLOOKUP(A23,BountyData!$A:$K,$H$1+3,FALSE)</f>
        <v>悬赏任务：领主夫人的尸骨</v>
      </c>
      <c r="D23" s="593" t="str">
        <f>VLOOKUP(A23,BountyData!$A:$K,8,FALSE)</f>
        <v>A1</v>
      </c>
      <c r="E23" s="81" t="str">
        <f>VLOOKUP(A23,BountyData!$A:$K,$H$1+8,FALSE)</f>
        <v>荒废的墓地</v>
      </c>
      <c r="F23" s="659" t="str">
        <f>VLOOKUP(A23,BountyData!$A:$K,2,FALSE)</f>
        <v>是</v>
      </c>
    </row>
    <row r="24" spans="1:6">
      <c r="A24" s="614" t="s">
        <v>4526</v>
      </c>
      <c r="B24" s="653" t="str">
        <f>VLOOKUP(A24,BountyData!$A:$K,3,FALSE)</f>
        <v>消灭紫怪</v>
      </c>
      <c r="C24" s="654" t="str">
        <f>VLOOKUP(A24,BountyData!$A:$K,$H$1+3,FALSE)</f>
        <v>悬赏任务：消灭数据挖掘者</v>
      </c>
      <c r="D24" s="593" t="str">
        <f>VLOOKUP(A24,BountyData!$A:$K,8,FALSE)</f>
        <v>A1</v>
      </c>
      <c r="E24" s="81" t="str">
        <f>VLOOKUP(A24,BountyData!$A:$K,$H$1+8,FALSE)</f>
        <v>荒废的墓地</v>
      </c>
      <c r="F24" s="659" t="str">
        <f>VLOOKUP(A24,BountyData!$A:$K,2,FALSE)</f>
        <v>是</v>
      </c>
    </row>
    <row r="25" spans="1:6">
      <c r="A25" s="614" t="s">
        <v>4528</v>
      </c>
      <c r="B25" s="653" t="str">
        <f>VLOOKUP(A25,BountyData!$A:$K,3,FALSE)</f>
        <v>消灭紫怪</v>
      </c>
      <c r="C25" s="654" t="str">
        <f>VLOOKUP(A25,BountyData!$A:$K,$H$1+3,FALSE)</f>
        <v>悬赏任务：消灭掘墓者奥德尔</v>
      </c>
      <c r="D25" s="593" t="str">
        <f>VLOOKUP(A25,BountyData!$A:$K,8,FALSE)</f>
        <v>A1</v>
      </c>
      <c r="E25" s="81" t="str">
        <f>VLOOKUP(A25,BountyData!$A:$K,$H$1+8,FALSE)</f>
        <v>荒废的墓地</v>
      </c>
      <c r="F25" s="659" t="str">
        <f>VLOOKUP(A25,BountyData!$A:$K,2,FALSE)</f>
        <v>是</v>
      </c>
    </row>
    <row r="26" spans="1:6">
      <c r="A26" s="614" t="s">
        <v>4522</v>
      </c>
      <c r="B26" s="653" t="str">
        <f>VLOOKUP(A26,BountyData!$A:$K,3,FALSE)</f>
        <v>消灭紫怪</v>
      </c>
      <c r="C26" s="654" t="str">
        <f>VLOOKUP(A26,BountyData!$A:$K,$H$1+3,FALSE)</f>
        <v>悬赏任务：消灭德卢瑞·布朗</v>
      </c>
      <c r="D26" s="593" t="str">
        <f>VLOOKUP(A26,BountyData!$A:$K,8,FALSE)</f>
        <v>A1</v>
      </c>
      <c r="E26" s="81" t="str">
        <f>VLOOKUP(A26,BountyData!$A:$K,$H$1+8,FALSE)</f>
        <v>荒废的墓地</v>
      </c>
      <c r="F26" s="659" t="str">
        <f>VLOOKUP(A26,BountyData!$A:$K,2,FALSE)</f>
        <v>是</v>
      </c>
    </row>
    <row r="27" spans="1:6">
      <c r="A27" s="614" t="s">
        <v>4524</v>
      </c>
      <c r="B27" s="653" t="str">
        <f>VLOOKUP(A27,BountyData!$A:$K,3,FALSE)</f>
        <v>消灭紫怪</v>
      </c>
      <c r="C27" s="654" t="str">
        <f>VLOOKUP(A27,BountyData!$A:$K,$H$1+3,FALSE)</f>
        <v>悬赏任务：消灭棺材约翰·格汉姆</v>
      </c>
      <c r="D27" s="593" t="str">
        <f>VLOOKUP(A27,BountyData!$A:$K,8,FALSE)</f>
        <v>A1</v>
      </c>
      <c r="E27" s="81" t="str">
        <f>VLOOKUP(A27,BountyData!$A:$K,$H$1+8,FALSE)</f>
        <v>荒废的墓地</v>
      </c>
      <c r="F27" s="659" t="str">
        <f>VLOOKUP(A27,BountyData!$A:$K,2,FALSE)</f>
        <v>是</v>
      </c>
    </row>
    <row r="28" spans="1:6">
      <c r="A28" s="614" t="s">
        <v>4520</v>
      </c>
      <c r="B28" s="653" t="str">
        <f>VLOOKUP(A28,BountyData!$A:$K,3,FALSE)</f>
        <v>消灭紫怪</v>
      </c>
      <c r="C28" s="654" t="str">
        <f>VLOOKUP(A28,BountyData!$A:$K,$H$1+3,FALSE)</f>
        <v>悬赏任务：消灭堕落的鲁修斯</v>
      </c>
      <c r="D28" s="593" t="str">
        <f>VLOOKUP(A28,BountyData!$A:$K,8,FALSE)</f>
        <v>A1</v>
      </c>
      <c r="E28" s="81" t="str">
        <f>VLOOKUP(A28,BountyData!$A:$K,$H$1+8,FALSE)</f>
        <v>荒废的墓地</v>
      </c>
      <c r="F28" s="602" t="str">
        <f>VLOOKUP(A28,BountyData!$A:$K,2,FALSE)</f>
        <v>2.4尚未启用</v>
      </c>
    </row>
    <row r="29" spans="1:6">
      <c r="A29" s="614" t="s">
        <v>4760</v>
      </c>
      <c r="B29" s="590" t="str">
        <f>VLOOKUP(A29,BountyData!$A:$K,3,FALSE)</f>
        <v>消灭首领</v>
      </c>
      <c r="C29" s="601" t="str">
        <f>VLOOKUP(A29,BountyData!$A:$K,$H$1+3,FALSE)</f>
        <v>悬赏任务：消灭骷髅王</v>
      </c>
      <c r="D29" s="593" t="str">
        <f>VLOOKUP(A29,BountyData!$A:$K,8,FALSE)</f>
        <v>A1</v>
      </c>
      <c r="E29" s="81" t="str">
        <f>VLOOKUP(A29,BountyData!$A:$K,$H$1+8,FALSE)</f>
        <v>皇家墓群</v>
      </c>
      <c r="F29" s="659" t="str">
        <f>VLOOKUP(A29,BountyData!$A:$K,2,FALSE)</f>
        <v>是</v>
      </c>
    </row>
    <row r="30" spans="1:6">
      <c r="A30" s="614" t="s">
        <v>4782</v>
      </c>
      <c r="B30" s="653" t="str">
        <f>VLOOKUP(A30,BountyData!$A:$K,3,FALSE)</f>
        <v>消灭紫怪</v>
      </c>
      <c r="C30" s="654" t="str">
        <f>VLOOKUP(A30,BountyData!$A:$K,$H$1+3,FALSE)</f>
        <v>悬赏任务：消灭克莱格队长</v>
      </c>
      <c r="D30" s="593" t="str">
        <f>VLOOKUP(A30,BountyData!$A:$K,8,FALSE)</f>
        <v>A1</v>
      </c>
      <c r="E30" s="81" t="str">
        <f>VLOOKUP(A30,BountyData!$A:$K,$H$1+8,FALSE)</f>
        <v>皇家墓群</v>
      </c>
      <c r="F30" s="659" t="str">
        <f>VLOOKUP(A30,BountyData!$A:$K,2,FALSE)</f>
        <v>是</v>
      </c>
    </row>
    <row r="31" spans="1:6">
      <c r="A31" s="614" t="s">
        <v>4780</v>
      </c>
      <c r="B31" s="653" t="str">
        <f>VLOOKUP(A31,BountyData!$A:$K,3,FALSE)</f>
        <v>消灭紫怪</v>
      </c>
      <c r="C31" s="654" t="str">
        <f>VLOOKUP(A31,BountyData!$A:$K,$H$1+3,FALSE)</f>
        <v>悬赏任务：消灭拉德·诺伊</v>
      </c>
      <c r="D31" s="593" t="str">
        <f>VLOOKUP(A31,BountyData!$A:$K,8,FALSE)</f>
        <v>A1</v>
      </c>
      <c r="E31" s="81" t="str">
        <f>VLOOKUP(A31,BountyData!$A:$K,$H$1+8,FALSE)</f>
        <v>皇家墓群</v>
      </c>
      <c r="F31" s="659" t="str">
        <f>VLOOKUP(A31,BountyData!$A:$K,2,FALSE)</f>
        <v>是</v>
      </c>
    </row>
    <row r="32" spans="1:6">
      <c r="A32" s="614" t="s">
        <v>5013</v>
      </c>
      <c r="B32" s="651" t="str">
        <f>VLOOKUP(A32,BountyData!$A:$K,3,FALSE)</f>
        <v>完成事件</v>
      </c>
      <c r="C32" s="652" t="str">
        <f>VLOOKUP(A32,BountyData!$A:$K,$H$1+3,FALSE)</f>
        <v>悬赏任务：诅咒地窖</v>
      </c>
      <c r="D32" s="593" t="str">
        <f>VLOOKUP(A32,BountyData!$A:$K,8,FALSE)</f>
        <v>A1</v>
      </c>
      <c r="E32" s="81" t="str">
        <f>VLOOKUP(A32,BountyData!$A:$K,$H$1+8,FALSE)</f>
        <v>旧废墟</v>
      </c>
      <c r="F32" s="659" t="str">
        <f>VLOOKUP(A32,BountyData!$A:$K,2,FALSE)</f>
        <v>是</v>
      </c>
    </row>
    <row r="33" spans="1:6">
      <c r="A33" s="614" t="s">
        <v>4337</v>
      </c>
      <c r="B33" s="588" t="str">
        <f>VLOOKUP(A33,BountyData!$A:$K,3,FALSE)</f>
        <v>怪物全清</v>
      </c>
      <c r="C33" s="599" t="str">
        <f>VLOOKUP(A33,BountyData!$A:$K,$H$1+3,FALSE)</f>
        <v>悬赏任务：清理堕落者的洞穴</v>
      </c>
      <c r="D33" s="593" t="str">
        <f>VLOOKUP(A33,BountyData!$A:$K,8,FALSE)</f>
        <v>A1</v>
      </c>
      <c r="E33" s="81" t="str">
        <f>VLOOKUP(A33,BountyData!$A:$K,$H$1+8,FALSE)</f>
        <v>哭泣山谷</v>
      </c>
      <c r="F33" s="659" t="str">
        <f>VLOOKUP(A33,BountyData!$A:$K,2,FALSE)</f>
        <v>是</v>
      </c>
    </row>
    <row r="34" spans="1:6">
      <c r="A34" s="614" t="s">
        <v>5063</v>
      </c>
      <c r="B34" s="589" t="str">
        <f>VLOOKUP(A34,BountyData!$A:$K,3,FALSE)</f>
        <v>扫荡野营</v>
      </c>
      <c r="C34" s="600" t="str">
        <f>VLOOKUP(A34,BountyData!$A:$K,$H$1+3,FALSE)</f>
        <v>悬赏任务：调查圣殿骑士</v>
      </c>
      <c r="D34" s="593" t="str">
        <f>VLOOKUP(A34,BountyData!$A:$K,8,FALSE)</f>
        <v>A1</v>
      </c>
      <c r="E34" s="81" t="str">
        <f>VLOOKUP(A34,BountyData!$A:$K,$H$1+8,FALSE)</f>
        <v>哭泣山谷</v>
      </c>
      <c r="F34" s="659" t="str">
        <f>VLOOKUP(A34,BountyData!$A:$K,2,FALSE)</f>
        <v>是</v>
      </c>
    </row>
    <row r="35" spans="1:6">
      <c r="A35" s="614" t="s">
        <v>4985</v>
      </c>
      <c r="B35" s="653" t="str">
        <f>VLOOKUP(A35,BountyData!$A:$K,3,FALSE)</f>
        <v>消灭紫怪</v>
      </c>
      <c r="C35" s="654" t="str">
        <f>VLOOKUP(A35,BountyData!$A:$K,$H$1+3,FALSE)</f>
        <v>悬赏任务：消灭坎克洛特</v>
      </c>
      <c r="D35" s="593" t="str">
        <f>VLOOKUP(A35,BountyData!$A:$K,8,FALSE)</f>
        <v>A1</v>
      </c>
      <c r="E35" s="81" t="str">
        <f>VLOOKUP(A35,BountyData!$A:$K,$H$1+8,FALSE)</f>
        <v>哭泣山谷</v>
      </c>
      <c r="F35" s="659" t="str">
        <f>VLOOKUP(A35,BountyData!$A:$K,2,FALSE)</f>
        <v>是</v>
      </c>
    </row>
    <row r="36" spans="1:6">
      <c r="A36" s="614" t="s">
        <v>4987</v>
      </c>
      <c r="B36" s="653" t="str">
        <f>VLOOKUP(A36,BountyData!$A:$K,3,FALSE)</f>
        <v>消灭紫怪</v>
      </c>
      <c r="C36" s="654" t="str">
        <f>VLOOKUP(A36,BountyData!$A:$K,$H$1+3,FALSE)</f>
        <v>悬赏任务：消灭荷鲁斯·黑夜追踪者</v>
      </c>
      <c r="D36" s="593" t="str">
        <f>VLOOKUP(A36,BountyData!$A:$K,8,FALSE)</f>
        <v>A1</v>
      </c>
      <c r="E36" s="81" t="str">
        <f>VLOOKUP(A36,BountyData!$A:$K,$H$1+8,FALSE)</f>
        <v>哭泣山谷</v>
      </c>
      <c r="F36" s="659" t="str">
        <f>VLOOKUP(A36,BountyData!$A:$K,2,FALSE)</f>
        <v>是</v>
      </c>
    </row>
    <row r="37" spans="1:6">
      <c r="A37" s="614" t="s">
        <v>4339</v>
      </c>
      <c r="B37" s="653" t="str">
        <f>VLOOKUP(A37,BountyData!$A:$K,3,FALSE)</f>
        <v>消灭紫怪</v>
      </c>
      <c r="C37" s="654" t="str">
        <f>VLOOKUP(A37,BountyData!$A:$K,$H$1+3,FALSE)</f>
        <v>悬赏任务：消灭癞疥兽</v>
      </c>
      <c r="D37" s="593" t="str">
        <f>VLOOKUP(A37,BountyData!$A:$K,8,FALSE)</f>
        <v>A1</v>
      </c>
      <c r="E37" s="81" t="str">
        <f>VLOOKUP(A37,BountyData!$A:$K,$H$1+8,FALSE)</f>
        <v>哭泣山谷</v>
      </c>
      <c r="F37" s="659" t="str">
        <f>VLOOKUP(A37,BountyData!$A:$K,2,FALSE)</f>
        <v>是</v>
      </c>
    </row>
    <row r="38" spans="1:6">
      <c r="A38" s="614" t="s">
        <v>4530</v>
      </c>
      <c r="B38" s="653" t="str">
        <f>VLOOKUP(A38,BountyData!$A:$K,3,FALSE)</f>
        <v>消灭紫怪</v>
      </c>
      <c r="C38" s="654" t="str">
        <f>VLOOKUP(A38,BountyData!$A:$K,$H$1+3,FALSE)</f>
        <v>悬赏任务：消灭米拉·埃蒙</v>
      </c>
      <c r="D38" s="593" t="str">
        <f>VLOOKUP(A38,BountyData!$A:$K,8,FALSE)</f>
        <v>A1</v>
      </c>
      <c r="E38" s="81" t="str">
        <f>VLOOKUP(A38,BountyData!$A:$K,$H$1+8,FALSE)</f>
        <v>哭泣山谷</v>
      </c>
      <c r="F38" s="659" t="str">
        <f>VLOOKUP(A38,BountyData!$A:$K,2,FALSE)</f>
        <v>是</v>
      </c>
    </row>
    <row r="39" spans="1:6">
      <c r="A39" s="622" t="s">
        <v>6480</v>
      </c>
      <c r="B39" s="653" t="str">
        <f>VLOOKUP(A39,BountyData!$A:$K,3,FALSE)</f>
        <v>消灭紫怪</v>
      </c>
      <c r="C39" s="654" t="str">
        <f>VLOOKUP(A39,BountyData!$A:$K,$H$1+3,FALSE)</f>
        <v>悬赏任务：消灭特费尼</v>
      </c>
      <c r="D39" s="593" t="str">
        <f>VLOOKUP(A39,BountyData!$A:$K,8,FALSE)</f>
        <v>A1</v>
      </c>
      <c r="E39" s="81" t="str">
        <f>VLOOKUP(A39,BountyData!$A:$K,$H$1+8,FALSE)</f>
        <v>哭泣山谷</v>
      </c>
      <c r="F39" s="659" t="str">
        <f>VLOOKUP(A39,BountyData!$A:$K,2,FALSE)</f>
        <v>是</v>
      </c>
    </row>
    <row r="40" spans="1:6">
      <c r="A40" s="614" t="s">
        <v>4511</v>
      </c>
      <c r="B40" s="588" t="str">
        <f>VLOOKUP(A40,BountyData!$A:$K,3,FALSE)</f>
        <v>怪物全清</v>
      </c>
      <c r="C40" s="599" t="str">
        <f>VLOOKUP(A40,BountyData!$A:$K,$H$1+3,FALSE)</f>
        <v>悬赏任务：清理卡兹拉洞穴</v>
      </c>
      <c r="D40" s="593" t="str">
        <f>VLOOKUP(A40,BountyData!$A:$K,8,FALSE)</f>
        <v>A1</v>
      </c>
      <c r="E40" s="81" t="str">
        <f>VLOOKUP(A40,BountyData!$A:$K,$H$1+8,FALSE)</f>
        <v>苦难旷野</v>
      </c>
      <c r="F40" s="659" t="str">
        <f>VLOOKUP(A40,BountyData!$A:$K,2,FALSE)</f>
        <v>是</v>
      </c>
    </row>
    <row r="41" spans="1:6">
      <c r="A41" s="614" t="s">
        <v>4341</v>
      </c>
      <c r="B41" s="588" t="str">
        <f>VLOOKUP(A41,BountyData!$A:$K,3,FALSE)</f>
        <v>怪物全清</v>
      </c>
      <c r="C41" s="599" t="str">
        <f>VLOOKUP(A41,BountyData!$A:$K,$H$1+3,FALSE)</f>
        <v>悬赏任务：清理食腐魔洞穴</v>
      </c>
      <c r="D41" s="593" t="str">
        <f>VLOOKUP(A41,BountyData!$A:$K,8,FALSE)</f>
        <v>A1</v>
      </c>
      <c r="E41" s="81" t="str">
        <f>VLOOKUP(A41,BountyData!$A:$K,$H$1+8,FALSE)</f>
        <v>苦难旷野</v>
      </c>
      <c r="F41" s="659" t="str">
        <f>VLOOKUP(A41,BountyData!$A:$K,2,FALSE)</f>
        <v>是</v>
      </c>
    </row>
    <row r="42" spans="1:6">
      <c r="A42" s="614" t="s">
        <v>4880</v>
      </c>
      <c r="B42" s="651" t="str">
        <f>VLOOKUP(A42,BountyData!$A:$K,3,FALSE)</f>
        <v>完成事件</v>
      </c>
      <c r="C42" s="652" t="str">
        <f>VLOOKUP(A42,BountyData!$A:$K,$H$1+3,FALSE)</f>
        <v>悬赏任务：诅咒磨坊</v>
      </c>
      <c r="D42" s="593" t="str">
        <f>VLOOKUP(A42,BountyData!$A:$K,8,FALSE)</f>
        <v>A1</v>
      </c>
      <c r="E42" s="81" t="str">
        <f>VLOOKUP(A42,BountyData!$A:$K,$H$1+8,FALSE)</f>
        <v>苦难旷野</v>
      </c>
      <c r="F42" s="659" t="str">
        <f>VLOOKUP(A42,BountyData!$A:$K,2,FALSE)</f>
        <v>是</v>
      </c>
    </row>
    <row r="43" spans="1:6">
      <c r="A43" s="614" t="s">
        <v>4505</v>
      </c>
      <c r="B43" s="651" t="str">
        <f>VLOOKUP(A43,BountyData!$A:$K,3,FALSE)</f>
        <v>完成事件</v>
      </c>
      <c r="C43" s="652" t="str">
        <f>VLOOKUP(A43,BountyData!$A:$K,$H$1+3,FALSE)</f>
        <v>悬赏任务：雷斯的一家</v>
      </c>
      <c r="D43" s="593" t="str">
        <f>VLOOKUP(A43,BountyData!$A:$K,8,FALSE)</f>
        <v>A1</v>
      </c>
      <c r="E43" s="81" t="str">
        <f>VLOOKUP(A43,BountyData!$A:$K,$H$1+8,FALSE)</f>
        <v>苦难旷野</v>
      </c>
      <c r="F43" s="659" t="str">
        <f>VLOOKUP(A43,BountyData!$A:$K,2,FALSE)</f>
        <v>是</v>
      </c>
    </row>
    <row r="44" spans="1:6">
      <c r="A44" s="614" t="s">
        <v>4509</v>
      </c>
      <c r="B44" s="651" t="str">
        <f>VLOOKUP(A44,BountyData!$A:$K,3,FALSE)</f>
        <v>完成事件</v>
      </c>
      <c r="C44" s="652" t="str">
        <f>VLOOKUP(A44,BountyData!$A:$K,$H$1+3,FALSE)</f>
        <v>悬赏任务：遭袭的农场</v>
      </c>
      <c r="D44" s="593" t="str">
        <f>VLOOKUP(A44,BountyData!$A:$K,8,FALSE)</f>
        <v>A1</v>
      </c>
      <c r="E44" s="81" t="str">
        <f>VLOOKUP(A44,BountyData!$A:$K,$H$1+8,FALSE)</f>
        <v>苦难旷野</v>
      </c>
      <c r="F44" s="659" t="str">
        <f>VLOOKUP(A44,BountyData!$A:$K,2,FALSE)</f>
        <v>是</v>
      </c>
    </row>
    <row r="45" spans="1:6">
      <c r="A45" s="614" t="s">
        <v>4345</v>
      </c>
      <c r="B45" s="651" t="str">
        <f>VLOOKUP(A45,BountyData!$A:$K,3,FALSE)</f>
        <v>完成事件</v>
      </c>
      <c r="C45" s="652" t="str">
        <f>VLOOKUP(A45,BountyData!$A:$K,$H$1+3,FALSE)</f>
        <v>悬赏任务：清理食腐鸟</v>
      </c>
      <c r="D45" s="593" t="str">
        <f>VLOOKUP(A45,BountyData!$A:$K,8,FALSE)</f>
        <v>A1</v>
      </c>
      <c r="E45" s="81" t="str">
        <f>VLOOKUP(A45,BountyData!$A:$K,$H$1+8,FALSE)</f>
        <v>苦难旷野</v>
      </c>
      <c r="F45" s="659" t="str">
        <f>VLOOKUP(A45,BountyData!$A:$K,2,FALSE)</f>
        <v>是</v>
      </c>
    </row>
    <row r="46" spans="1:6">
      <c r="A46" s="614" t="s">
        <v>4878</v>
      </c>
      <c r="B46" s="651" t="str">
        <f>VLOOKUP(A46,BountyData!$A:$K,3,FALSE)</f>
        <v>完成事件</v>
      </c>
      <c r="C46" s="652" t="str">
        <f>VLOOKUP(A46,BountyData!$A:$K,$H$1+3,FALSE)</f>
        <v>悬赏任务：诅咒树林</v>
      </c>
      <c r="D46" s="593" t="str">
        <f>VLOOKUP(A46,BountyData!$A:$K,8,FALSE)</f>
        <v>A1</v>
      </c>
      <c r="E46" s="81" t="str">
        <f>VLOOKUP(A46,BountyData!$A:$K,$H$1+8,FALSE)</f>
        <v>苦难旷野</v>
      </c>
      <c r="F46" s="659" t="str">
        <f>VLOOKUP(A46,BountyData!$A:$K,2,FALSE)</f>
        <v>是</v>
      </c>
    </row>
    <row r="47" spans="1:6">
      <c r="A47" s="614" t="s">
        <v>4507</v>
      </c>
      <c r="B47" s="651" t="str">
        <f>VLOOKUP(A47,BountyData!$A:$K,3,FALSE)</f>
        <v>完成事件</v>
      </c>
      <c r="C47" s="652" t="str">
        <f>VLOOKUP(A47,BountyData!$A:$K,$H$1+3,FALSE)</f>
        <v>悬赏任务：珍贵的矿石</v>
      </c>
      <c r="D47" s="593" t="str">
        <f>VLOOKUP(A47,BountyData!$A:$K,8,FALSE)</f>
        <v>A1</v>
      </c>
      <c r="E47" s="81" t="str">
        <f>VLOOKUP(A47,BountyData!$A:$K,$H$1+8,FALSE)</f>
        <v>苦难旷野</v>
      </c>
      <c r="F47" s="659" t="str">
        <f>VLOOKUP(A47,BountyData!$A:$K,2,FALSE)</f>
        <v>是</v>
      </c>
    </row>
    <row r="48" spans="1:6">
      <c r="A48" s="614" t="s">
        <v>4513</v>
      </c>
      <c r="B48" s="653" t="str">
        <f>VLOOKUP(A48,BountyData!$A:$K,3,FALSE)</f>
        <v>消灭紫怪</v>
      </c>
      <c r="C48" s="654" t="str">
        <f>VLOOKUP(A48,BountyData!$A:$K,$H$1+3,FALSE)</f>
        <v>悬赏任务：消灭冲锋兽</v>
      </c>
      <c r="D48" s="593" t="str">
        <f>VLOOKUP(A48,BountyData!$A:$K,8,FALSE)</f>
        <v>A1</v>
      </c>
      <c r="E48" s="81" t="str">
        <f>VLOOKUP(A48,BountyData!$A:$K,$H$1+8,FALSE)</f>
        <v>苦难旷野</v>
      </c>
      <c r="F48" s="659" t="str">
        <f>VLOOKUP(A48,BountyData!$A:$K,2,FALSE)</f>
        <v>是</v>
      </c>
    </row>
    <row r="49" spans="1:6">
      <c r="A49" s="614" t="s">
        <v>4515</v>
      </c>
      <c r="B49" s="653" t="str">
        <f>VLOOKUP(A49,BountyData!$A:$K,3,FALSE)</f>
        <v>消灭紫怪</v>
      </c>
      <c r="C49" s="654" t="str">
        <f>VLOOKUP(A49,BountyData!$A:$K,$H$1+3,FALSE)</f>
        <v>悬赏任务：消灭恐爪·跃行者</v>
      </c>
      <c r="D49" s="593" t="str">
        <f>VLOOKUP(A49,BountyData!$A:$K,8,FALSE)</f>
        <v>A1</v>
      </c>
      <c r="E49" s="81" t="str">
        <f>VLOOKUP(A49,BountyData!$A:$K,$H$1+8,FALSE)</f>
        <v>苦难旷野</v>
      </c>
      <c r="F49" s="659" t="str">
        <f>VLOOKUP(A49,BountyData!$A:$K,2,FALSE)</f>
        <v>是</v>
      </c>
    </row>
    <row r="50" spans="1:6">
      <c r="A50" s="614" t="s">
        <v>4942</v>
      </c>
      <c r="B50" s="653" t="str">
        <f>VLOOKUP(A50,BountyData!$A:$K,3,FALSE)</f>
        <v>消灭紫怪</v>
      </c>
      <c r="C50" s="654" t="str">
        <f>VLOOKUP(A50,BountyData!$A:$K,$H$1+3,FALSE)</f>
        <v>悬赏任务：消灭咆哮者</v>
      </c>
      <c r="D50" s="593" t="str">
        <f>VLOOKUP(A50,BountyData!$A:$K,8,FALSE)</f>
        <v>A1</v>
      </c>
      <c r="E50" s="81" t="str">
        <f>VLOOKUP(A50,BountyData!$A:$K,$H$1+8,FALSE)</f>
        <v>苦难旷野</v>
      </c>
      <c r="F50" s="659" t="str">
        <f>VLOOKUP(A50,BountyData!$A:$K,2,FALSE)</f>
        <v>是</v>
      </c>
    </row>
    <row r="51" spans="1:6">
      <c r="A51" s="614" t="s">
        <v>5119</v>
      </c>
      <c r="B51" s="653" t="str">
        <f>VLOOKUP(A51,BountyData!$A:$K,3,FALSE)</f>
        <v>消灭紫怪</v>
      </c>
      <c r="C51" s="654" t="str">
        <f>VLOOKUP(A51,BountyData!$A:$K,$H$1+3,FALSE)</f>
        <v>悬赏任务：消灭罪大恶极的克雷姆</v>
      </c>
      <c r="D51" s="593" t="str">
        <f>VLOOKUP(A51,BountyData!$A:$K,8,FALSE)</f>
        <v>A1</v>
      </c>
      <c r="E51" s="81" t="str">
        <f>VLOOKUP(A51,BountyData!$A:$K,$H$1+8,FALSE)</f>
        <v>苦难旷野</v>
      </c>
      <c r="F51" s="659" t="str">
        <f>VLOOKUP(A51,BountyData!$A:$K,2,FALSE)</f>
        <v>是</v>
      </c>
    </row>
    <row r="52" spans="1:6">
      <c r="A52" s="614" t="s">
        <v>4343</v>
      </c>
      <c r="B52" s="653" t="str">
        <f>VLOOKUP(A52,BountyData!$A:$K,3,FALSE)</f>
        <v>消灭紫怪</v>
      </c>
      <c r="C52" s="654" t="str">
        <f>VLOOKUP(A52,BountyData!$A:$K,$H$1+3,FALSE)</f>
        <v>悬赏任务：消灭迅捷的梅尔麦克</v>
      </c>
      <c r="D52" s="593" t="str">
        <f>VLOOKUP(A52,BountyData!$A:$K,8,FALSE)</f>
        <v>A1</v>
      </c>
      <c r="E52" s="81" t="str">
        <f>VLOOKUP(A52,BountyData!$A:$K,$H$1+8,FALSE)</f>
        <v>苦难旷野</v>
      </c>
      <c r="F52" s="659" t="str">
        <f>VLOOKUP(A52,BountyData!$A:$K,2,FALSE)</f>
        <v>是</v>
      </c>
    </row>
    <row r="53" spans="1:6">
      <c r="A53" s="614" t="s">
        <v>4518</v>
      </c>
      <c r="B53" s="653" t="str">
        <f>VLOOKUP(A53,BountyData!$A:$K,3,FALSE)</f>
        <v>消灭紫怪</v>
      </c>
      <c r="C53" s="654" t="str">
        <f>VLOOKUP(A53,BountyData!$A:$K,$H$1+3,FALSE)</f>
        <v>悬赏任务：消灭奥德格·钥匙守护者</v>
      </c>
      <c r="D53" s="593" t="str">
        <f>VLOOKUP(A53,BountyData!$A:$K,8,FALSE)</f>
        <v>A1</v>
      </c>
      <c r="E53" s="81" t="str">
        <f>VLOOKUP(A53,BountyData!$A:$K,$H$1+8,FALSE)</f>
        <v>苦难旷野</v>
      </c>
      <c r="F53" s="602" t="str">
        <f>VLOOKUP(A53,BountyData!$A:$K,2,FALSE)</f>
        <v>2.4尚未启用</v>
      </c>
    </row>
    <row r="54" spans="1:6">
      <c r="A54" s="614" t="s">
        <v>4517</v>
      </c>
      <c r="B54" s="653" t="str">
        <f>VLOOKUP(A54,BountyData!$A:$K,3,FALSE)</f>
        <v>消灭紫怪</v>
      </c>
      <c r="C54" s="654" t="str">
        <f>VLOOKUP(A54,BountyData!$A:$K,$H$1+3,FALSE)</f>
        <v>悬赏任务：消灭老家伙</v>
      </c>
      <c r="D54" s="593" t="str">
        <f>VLOOKUP(A54,BountyData!$A:$K,8,FALSE)</f>
        <v>A1</v>
      </c>
      <c r="E54" s="81" t="str">
        <f>VLOOKUP(A54,BountyData!$A:$K,$H$1+8,FALSE)</f>
        <v>苦难旷野</v>
      </c>
      <c r="F54" s="602" t="str">
        <f>VLOOKUP(A54,BountyData!$A:$K,2,FALSE)</f>
        <v>2.4尚未启用</v>
      </c>
    </row>
    <row r="55" spans="1:6">
      <c r="A55" s="614" t="s">
        <v>4679</v>
      </c>
      <c r="B55" s="653" t="str">
        <f>VLOOKUP(A55,BountyData!$A:$K,3,FALSE)</f>
        <v>消灭紫怪</v>
      </c>
      <c r="C55" s="654" t="str">
        <f>VLOOKUP(A55,BountyData!$A:$K,$H$1+3,FALSE)</f>
        <v>悬赏任务：消灭石肠</v>
      </c>
      <c r="D55" s="593" t="str">
        <f>VLOOKUP(A55,BountyData!$A:$K,8,FALSE)</f>
        <v>A1</v>
      </c>
      <c r="E55" s="81" t="str">
        <f>VLOOKUP(A55,BountyData!$A:$K,$H$1+8,FALSE)</f>
        <v>苦难旷野</v>
      </c>
      <c r="F55" s="659" t="str">
        <f>VLOOKUP(A55,BountyData!$A:$K,2,FALSE)</f>
        <v>是</v>
      </c>
    </row>
    <row r="56" spans="1:6">
      <c r="A56" s="614" t="s">
        <v>5106</v>
      </c>
      <c r="B56" s="589" t="str">
        <f>VLOOKUP(A56,BountyData!$A:$K,3,FALSE)</f>
        <v>扫荡野营</v>
      </c>
      <c r="C56" s="600" t="str">
        <f>VLOOKUP(A56,BountyData!$A:$K,$H$1+3,FALSE)</f>
        <v>悬赏任务：沃桑幸存者</v>
      </c>
      <c r="D56" s="593" t="str">
        <f>VLOOKUP(A56,BountyData!$A:$K,8,FALSE)</f>
        <v>A1</v>
      </c>
      <c r="E56" s="81" t="str">
        <f>VLOOKUP(A56,BountyData!$A:$K,$H$1+8,FALSE)</f>
        <v>苦痛刑牢二层</v>
      </c>
      <c r="F56" s="659" t="str">
        <f>VLOOKUP(A56,BountyData!$A:$K,2,FALSE)</f>
        <v>是</v>
      </c>
    </row>
    <row r="57" spans="1:6">
      <c r="A57" s="614" t="s">
        <v>4368</v>
      </c>
      <c r="B57" s="651" t="str">
        <f>VLOOKUP(A57,BountyData!$A:$K,3,FALSE)</f>
        <v>完成事件</v>
      </c>
      <c r="C57" s="652" t="str">
        <f>VLOOKUP(A57,BountyData!$A:$K,$H$1+3,FALSE)</f>
        <v>悬赏任务：需要帮助的陌生人</v>
      </c>
      <c r="D57" s="593" t="str">
        <f>VLOOKUP(A57,BountyData!$A:$K,8,FALSE)</f>
        <v>A1</v>
      </c>
      <c r="E57" s="81" t="str">
        <f>VLOOKUP(A57,BountyData!$A:$K,$H$1+8,FALSE)</f>
        <v>苦痛刑牢二层</v>
      </c>
      <c r="F57" s="659" t="str">
        <f>VLOOKUP(A57,BountyData!$A:$K,2,FALSE)</f>
        <v>是</v>
      </c>
    </row>
    <row r="58" spans="1:6">
      <c r="A58" s="614" t="s">
        <v>4487</v>
      </c>
      <c r="B58" s="651" t="str">
        <f>VLOOKUP(A58,BountyData!$A:$K,3,FALSE)</f>
        <v>完成事件</v>
      </c>
      <c r="C58" s="652" t="str">
        <f>VLOOKUP(A58,BountyData!$A:$K,$H$1+3,FALSE)</f>
        <v>悬赏任务：重铸声誉</v>
      </c>
      <c r="D58" s="593" t="str">
        <f>VLOOKUP(A58,BountyData!$A:$K,8,FALSE)</f>
        <v>A1</v>
      </c>
      <c r="E58" s="81" t="str">
        <f>VLOOKUP(A58,BountyData!$A:$K,$H$1+8,FALSE)</f>
        <v>苦痛刑牢二层</v>
      </c>
      <c r="F58" s="602" t="str">
        <f>VLOOKUP(A58,BountyData!$A:$K,2,FALSE)</f>
        <v>2.4尚未启用</v>
      </c>
    </row>
    <row r="59" spans="1:6">
      <c r="A59" s="614" t="s">
        <v>4578</v>
      </c>
      <c r="B59" s="653" t="str">
        <f>VLOOKUP(A59,BountyData!$A:$K,3,FALSE)</f>
        <v>消灭紫怪</v>
      </c>
      <c r="C59" s="654" t="str">
        <f>VLOOKUP(A59,BountyData!$A:$K,$H$1+3,FALSE)</f>
        <v>悬赏任务：消灭愚蠢的索特诺布</v>
      </c>
      <c r="D59" s="593" t="str">
        <f>VLOOKUP(A59,BountyData!$A:$K,8,FALSE)</f>
        <v>A1</v>
      </c>
      <c r="E59" s="81" t="str">
        <f>VLOOKUP(A59,BountyData!$A:$K,$H$1+8,FALSE)</f>
        <v>苦痛刑牢二层</v>
      </c>
      <c r="F59" s="659" t="str">
        <f>VLOOKUP(A59,BountyData!$A:$K,2,FALSE)</f>
        <v>是</v>
      </c>
    </row>
    <row r="60" spans="1:6">
      <c r="A60" s="614" t="s">
        <v>4497</v>
      </c>
      <c r="B60" s="653" t="str">
        <f>VLOOKUP(A60,BountyData!$A:$K,3,FALSE)</f>
        <v>消灭紫怪</v>
      </c>
      <c r="C60" s="654" t="str">
        <f>VLOOKUP(A60,BountyData!$A:$K,$H$1+3,FALSE)</f>
        <v>悬赏任务：消灭典狱长</v>
      </c>
      <c r="D60" s="593" t="str">
        <f>VLOOKUP(A60,BountyData!$A:$K,8,FALSE)</f>
        <v>A1</v>
      </c>
      <c r="E60" s="81" t="str">
        <f>VLOOKUP(A60,BountyData!$A:$K,$H$1+8,FALSE)</f>
        <v>苦痛刑牢二层</v>
      </c>
      <c r="F60" s="659" t="str">
        <f>VLOOKUP(A60,BountyData!$A:$K,2,FALSE)</f>
        <v>是</v>
      </c>
    </row>
    <row r="61" spans="1:6">
      <c r="A61" s="614" t="s">
        <v>4991</v>
      </c>
      <c r="B61" s="651" t="str">
        <f>VLOOKUP(A61,BountyData!$A:$K,3,FALSE)</f>
        <v>完成事件</v>
      </c>
      <c r="C61" s="652" t="str">
        <f>VLOOKUP(A61,BountyData!$A:$K,$H$1+3,FALSE)</f>
        <v>悬赏任务：诅咒火狱</v>
      </c>
      <c r="D61" s="593" t="str">
        <f>VLOOKUP(A61,BountyData!$A:$K,8,FALSE)</f>
        <v>A1</v>
      </c>
      <c r="E61" s="81" t="str">
        <f>VLOOKUP(A61,BountyData!$A:$K,$H$1+8,FALSE)</f>
        <v>苦痛刑牢三层</v>
      </c>
      <c r="F61" s="659" t="str">
        <f>VLOOKUP(A61,BountyData!$A:$K,2,FALSE)</f>
        <v>是</v>
      </c>
    </row>
    <row r="62" spans="1:6">
      <c r="A62" s="614" t="s">
        <v>4499</v>
      </c>
      <c r="B62" s="590" t="str">
        <f>VLOOKUP(A62,BountyData!$A:$K,3,FALSE)</f>
        <v>消灭首领</v>
      </c>
      <c r="C62" s="601" t="str">
        <f>VLOOKUP(A62,BountyData!$A:$K,$H$1+3,FALSE)</f>
        <v>悬赏任务：消灭屠夫</v>
      </c>
      <c r="D62" s="593" t="str">
        <f>VLOOKUP(A62,BountyData!$A:$K,8,FALSE)</f>
        <v>A1</v>
      </c>
      <c r="E62" s="81" t="str">
        <f>VLOOKUP(A62,BountyData!$A:$K,$H$1+8,FALSE)</f>
        <v>苦痛刑牢三层</v>
      </c>
      <c r="F62" s="659" t="str">
        <f>VLOOKUP(A62,BountyData!$A:$K,2,FALSE)</f>
        <v>是</v>
      </c>
    </row>
    <row r="63" spans="1:6">
      <c r="A63" s="614" t="s">
        <v>4493</v>
      </c>
      <c r="B63" s="653" t="str">
        <f>VLOOKUP(A63,BountyData!$A:$K,3,FALSE)</f>
        <v>消灭紫怪</v>
      </c>
      <c r="C63" s="654" t="str">
        <f>VLOOKUP(A63,BountyData!$A:$K,$H$1+3,FALSE)</f>
        <v>悬赏任务：消灭断骨狂徒</v>
      </c>
      <c r="D63" s="593" t="str">
        <f>VLOOKUP(A63,BountyData!$A:$K,8,FALSE)</f>
        <v>A1</v>
      </c>
      <c r="E63" s="81" t="str">
        <f>VLOOKUP(A63,BountyData!$A:$K,$H$1+8,FALSE)</f>
        <v>苦痛刑牢三层</v>
      </c>
      <c r="F63" s="659" t="str">
        <f>VLOOKUP(A63,BountyData!$A:$K,2,FALSE)</f>
        <v>是</v>
      </c>
    </row>
    <row r="64" spans="1:6">
      <c r="A64" s="614" t="s">
        <v>6225</v>
      </c>
      <c r="B64" s="653" t="str">
        <f>VLOOKUP(A64,BountyData!$A:$K,3,FALSE)</f>
        <v>消灭紫怪</v>
      </c>
      <c r="C64" s="654" t="str">
        <f>VLOOKUP(A64,BountyData!$A:$K,$H$1+3,FALSE)</f>
        <v>悬赏任务：消灭被折磨的加拉克</v>
      </c>
      <c r="D64" s="593" t="str">
        <f>VLOOKUP(A64,BountyData!$A:$K,8,FALSE)</f>
        <v>A1</v>
      </c>
      <c r="E64" s="81" t="str">
        <f>VLOOKUP(A64,BountyData!$A:$K,$H$1+8,FALSE)</f>
        <v>苦痛刑牢三层</v>
      </c>
      <c r="F64" s="659" t="str">
        <f>VLOOKUP(A64,BountyData!$A:$K,2,FALSE)</f>
        <v>是</v>
      </c>
    </row>
    <row r="65" spans="1:6">
      <c r="A65" s="614" t="s">
        <v>4491</v>
      </c>
      <c r="B65" s="653" t="str">
        <f>VLOOKUP(A65,BountyData!$A:$K,3,FALSE)</f>
        <v>消灭紫怪</v>
      </c>
      <c r="C65" s="654" t="str">
        <f>VLOOKUP(A65,BountyData!$A:$K,$H$1+3,FALSE)</f>
        <v>悬赏任务：消灭树拳木脑</v>
      </c>
      <c r="D65" s="593" t="str">
        <f>VLOOKUP(A65,BountyData!$A:$K,8,FALSE)</f>
        <v>A1</v>
      </c>
      <c r="E65" s="81" t="str">
        <f>VLOOKUP(A65,BountyData!$A:$K,$H$1+8,FALSE)</f>
        <v>苦痛刑牢三层</v>
      </c>
      <c r="F65" s="659" t="str">
        <f>VLOOKUP(A65,BountyData!$A:$K,2,FALSE)</f>
        <v>是</v>
      </c>
    </row>
    <row r="66" spans="1:6">
      <c r="A66" s="614" t="s">
        <v>4489</v>
      </c>
      <c r="B66" s="653" t="str">
        <f>VLOOKUP(A66,BountyData!$A:$K,3,FALSE)</f>
        <v>消灭紫怪</v>
      </c>
      <c r="C66" s="654" t="str">
        <f>VLOOKUP(A66,BountyData!$A:$K,$H$1+3,FALSE)</f>
        <v>悬赏任务：消灭瘟疫战狂</v>
      </c>
      <c r="D66" s="593" t="str">
        <f>VLOOKUP(A66,BountyData!$A:$K,8,FALSE)</f>
        <v>A1</v>
      </c>
      <c r="E66" s="81" t="str">
        <f>VLOOKUP(A66,BountyData!$A:$K,$H$1+8,FALSE)</f>
        <v>苦痛刑牢一层</v>
      </c>
      <c r="F66" s="659" t="str">
        <f>VLOOKUP(A66,BountyData!$A:$K,2,FALSE)</f>
        <v>是</v>
      </c>
    </row>
    <row r="67" spans="1:6">
      <c r="A67" s="614" t="s">
        <v>4366</v>
      </c>
      <c r="B67" s="653" t="str">
        <f>VLOOKUP(A67,BountyData!$A:$K,3,FALSE)</f>
        <v>消灭紫怪</v>
      </c>
      <c r="C67" s="654" t="str">
        <f>VLOOKUP(A67,BountyData!$A:$K,$H$1+3,FALSE)</f>
        <v>悬赏任务：消灭碎颅·棒槌</v>
      </c>
      <c r="D67" s="593" t="str">
        <f>VLOOKUP(A67,BountyData!$A:$K,8,FALSE)</f>
        <v>A1</v>
      </c>
      <c r="E67" s="81" t="str">
        <f>VLOOKUP(A67,BountyData!$A:$K,$H$1+8,FALSE)</f>
        <v>苦痛刑牢一层</v>
      </c>
      <c r="F67" s="659" t="str">
        <f>VLOOKUP(A67,BountyData!$A:$K,2,FALSE)</f>
        <v>是</v>
      </c>
    </row>
    <row r="68" spans="1:6">
      <c r="A68" s="614" t="s">
        <v>4364</v>
      </c>
      <c r="B68" s="653" t="str">
        <f>VLOOKUP(A68,BountyData!$A:$K,3,FALSE)</f>
        <v>消灭紫怪</v>
      </c>
      <c r="C68" s="654" t="str">
        <f>VLOOKUP(A68,BountyData!$A:$K,$H$1+3,FALSE)</f>
        <v>悬赏任务：消灭克拉苏斯·折磨者</v>
      </c>
      <c r="D68" s="593" t="str">
        <f>VLOOKUP(A68,BountyData!$A:$K,8,FALSE)</f>
        <v>A1</v>
      </c>
      <c r="E68" s="81" t="str">
        <f>VLOOKUP(A68,BountyData!$A:$K,$H$1+8,FALSE)</f>
        <v>苦痛刑牢一层</v>
      </c>
      <c r="F68" s="659" t="str">
        <f>VLOOKUP(A68,BountyData!$A:$K,2,FALSE)</f>
        <v>是</v>
      </c>
    </row>
    <row r="69" spans="1:6">
      <c r="A69" s="614" t="s">
        <v>4495</v>
      </c>
      <c r="B69" s="653" t="str">
        <f>VLOOKUP(A69,BountyData!$A:$K,3,FALSE)</f>
        <v>消灭紫怪</v>
      </c>
      <c r="C69" s="654" t="str">
        <f>VLOOKUP(A69,BountyData!$A:$K,$H$1+3,FALSE)</f>
        <v>悬赏任务：消灭邪教徒大审讯官</v>
      </c>
      <c r="D69" s="593" t="str">
        <f>VLOOKUP(A69,BountyData!$A:$K,8,FALSE)</f>
        <v>A1</v>
      </c>
      <c r="E69" s="81" t="str">
        <f>VLOOKUP(A69,BountyData!$A:$K,$H$1+8,FALSE)</f>
        <v>苦痛刑牢一层</v>
      </c>
      <c r="F69" s="659" t="str">
        <f>VLOOKUP(A69,BountyData!$A:$K,2,FALSE)</f>
        <v>是</v>
      </c>
    </row>
    <row r="70" spans="1:6">
      <c r="A70" s="614" t="s">
        <v>4353</v>
      </c>
      <c r="B70" s="588" t="str">
        <f>VLOOKUP(A70,BountyData!$A:$K,3,FALSE)</f>
        <v>怪物全清</v>
      </c>
      <c r="C70" s="599" t="str">
        <f>VLOOKUP(A70,BountyData!$A:$K,$H$1+3,FALSE)</f>
        <v>悬赏任务：清理先祖墓穴</v>
      </c>
      <c r="D70" s="593" t="str">
        <f>VLOOKUP(A70,BountyData!$A:$K,8,FALSE)</f>
        <v>A1</v>
      </c>
      <c r="E70" s="81" t="str">
        <f>VLOOKUP(A70,BountyData!$A:$K,$H$1+8,FALSE)</f>
        <v>烂木林</v>
      </c>
      <c r="F70" s="659" t="str">
        <f>VLOOKUP(A70,BountyData!$A:$K,2,FALSE)</f>
        <v>是</v>
      </c>
    </row>
    <row r="71" spans="1:6">
      <c r="A71" s="614" t="s">
        <v>4355</v>
      </c>
      <c r="B71" s="588" t="str">
        <f>VLOOKUP(A71,BountyData!$A:$K,3,FALSE)</f>
        <v>怪物全清</v>
      </c>
      <c r="C71" s="599" t="str">
        <f>VLOOKUP(A71,BountyData!$A:$K,$H$1+3,FALSE)</f>
        <v>悬赏任务：清理勇士之陵</v>
      </c>
      <c r="D71" s="593" t="str">
        <f>VLOOKUP(A71,BountyData!$A:$K,8,FALSE)</f>
        <v>A1</v>
      </c>
      <c r="E71" s="81" t="str">
        <f>VLOOKUP(A71,BountyData!$A:$K,$H$1+8,FALSE)</f>
        <v>烂木林</v>
      </c>
      <c r="F71" s="659" t="str">
        <f>VLOOKUP(A71,BountyData!$A:$K,2,FALSE)</f>
        <v>是</v>
      </c>
    </row>
    <row r="72" spans="1:6">
      <c r="A72" s="614" t="s">
        <v>6439</v>
      </c>
      <c r="B72" s="589" t="str">
        <f>VLOOKUP(A72,BountyData!$A:$K,3,FALSE)</f>
        <v>扫荡野营</v>
      </c>
      <c r="C72" s="600" t="str">
        <f>VLOOKUP(A72,BountyData!$A:$K,$H$1+3,FALSE)</f>
        <v>悬赏任务：失落的圣火</v>
      </c>
      <c r="D72" s="593" t="str">
        <f>VLOOKUP(A72,BountyData!$A:$K,8,FALSE)</f>
        <v>A1</v>
      </c>
      <c r="E72" s="81" t="str">
        <f>VLOOKUP(A72,BountyData!$A:$K,$H$1+8,FALSE)</f>
        <v>烂木林</v>
      </c>
      <c r="F72" s="602" t="str">
        <f>VLOOKUP(A72,BountyData!$A:$K,2,FALSE)</f>
        <v>无数据</v>
      </c>
    </row>
    <row r="73" spans="1:6">
      <c r="A73" s="614" t="s">
        <v>4349</v>
      </c>
      <c r="B73" s="651" t="str">
        <f>VLOOKUP(A73,BountyData!$A:$K,3,FALSE)</f>
        <v>完成事件</v>
      </c>
      <c r="C73" s="652" t="str">
        <f>VLOOKUP(A73,BountyData!$A:$K,$H$1+3,FALSE)</f>
        <v>悬赏任务：永恒之战</v>
      </c>
      <c r="D73" s="593" t="str">
        <f>VLOOKUP(A73,BountyData!$A:$K,8,FALSE)</f>
        <v>A1</v>
      </c>
      <c r="E73" s="81" t="str">
        <f>VLOOKUP(A73,BountyData!$A:$K,$H$1+8,FALSE)</f>
        <v>烂木林</v>
      </c>
      <c r="F73" s="659" t="str">
        <f>VLOOKUP(A73,BountyData!$A:$K,2,FALSE)</f>
        <v>是</v>
      </c>
    </row>
    <row r="74" spans="1:6">
      <c r="A74" s="614" t="s">
        <v>4347</v>
      </c>
      <c r="B74" s="651" t="str">
        <f>VLOOKUP(A74,BountyData!$A:$K,3,FALSE)</f>
        <v>完成事件</v>
      </c>
      <c r="C74" s="652" t="str">
        <f>VLOOKUP(A74,BountyData!$A:$K,$H$1+3,FALSE)</f>
        <v>悬赏任务：先祖英雄之背水一战</v>
      </c>
      <c r="D74" s="593" t="str">
        <f>VLOOKUP(A74,BountyData!$A:$K,8,FALSE)</f>
        <v>A1</v>
      </c>
      <c r="E74" s="81" t="str">
        <f>VLOOKUP(A74,BountyData!$A:$K,$H$1+8,FALSE)</f>
        <v>烂木林</v>
      </c>
      <c r="F74" s="659" t="str">
        <f>VLOOKUP(A74,BountyData!$A:$K,2,FALSE)</f>
        <v>是</v>
      </c>
    </row>
    <row r="75" spans="1:6">
      <c r="A75" s="614" t="s">
        <v>4503</v>
      </c>
      <c r="B75" s="653" t="str">
        <f>VLOOKUP(A75,BountyData!$A:$K,3,FALSE)</f>
        <v>消灭紫怪</v>
      </c>
      <c r="C75" s="654" t="str">
        <f>VLOOKUP(A75,BountyData!$A:$K,$H$1+3,FALSE)</f>
        <v>悬赏任务：消灭费克拉的鬼魂</v>
      </c>
      <c r="D75" s="593" t="str">
        <f>VLOOKUP(A75,BountyData!$A:$K,8,FALSE)</f>
        <v>A1</v>
      </c>
      <c r="E75" s="81" t="str">
        <f>VLOOKUP(A75,BountyData!$A:$K,$H$1+8,FALSE)</f>
        <v>烂木林</v>
      </c>
      <c r="F75" s="659" t="str">
        <f>VLOOKUP(A75,BountyData!$A:$K,2,FALSE)</f>
        <v>是</v>
      </c>
    </row>
    <row r="76" spans="1:6">
      <c r="A76" s="614" t="s">
        <v>4946</v>
      </c>
      <c r="B76" s="653" t="str">
        <f>VLOOKUP(A76,BountyData!$A:$K,3,FALSE)</f>
        <v>消灭紫怪</v>
      </c>
      <c r="C76" s="654" t="str">
        <f>VLOOKUP(A76,BountyData!$A:$K,$H$1+3,FALSE)</f>
        <v>悬赏任务：消灭加鲁什·瓦尔丹</v>
      </c>
      <c r="D76" s="593" t="str">
        <f>VLOOKUP(A76,BountyData!$A:$K,8,FALSE)</f>
        <v>A1</v>
      </c>
      <c r="E76" s="81" t="str">
        <f>VLOOKUP(A76,BountyData!$A:$K,$H$1+8,FALSE)</f>
        <v>烂木林</v>
      </c>
      <c r="F76" s="659" t="str">
        <f>VLOOKUP(A76,BountyData!$A:$K,2,FALSE)</f>
        <v>是</v>
      </c>
    </row>
    <row r="77" spans="1:6">
      <c r="A77" s="614" t="s">
        <v>4351</v>
      </c>
      <c r="B77" s="653" t="str">
        <f>VLOOKUP(A77,BountyData!$A:$K,3,FALSE)</f>
        <v>消灭紫怪</v>
      </c>
      <c r="C77" s="654" t="str">
        <f>VLOOKUP(A77,BountyData!$A:$K,$H$1+3,FALSE)</f>
        <v>悬赏任务：消灭格里斯迈</v>
      </c>
      <c r="D77" s="593" t="str">
        <f>VLOOKUP(A77,BountyData!$A:$K,8,FALSE)</f>
        <v>A1</v>
      </c>
      <c r="E77" s="81" t="str">
        <f>VLOOKUP(A77,BountyData!$A:$K,$H$1+8,FALSE)</f>
        <v>烂木林</v>
      </c>
      <c r="F77" s="659" t="str">
        <f>VLOOKUP(A77,BountyData!$A:$K,2,FALSE)</f>
        <v>是</v>
      </c>
    </row>
    <row r="78" spans="1:6">
      <c r="A78" s="614" t="s">
        <v>4501</v>
      </c>
      <c r="B78" s="653" t="str">
        <f>VLOOKUP(A78,BountyData!$A:$K,3,FALSE)</f>
        <v>消灭紫怪</v>
      </c>
      <c r="C78" s="654" t="str">
        <f>VLOOKUP(A78,BountyData!$A:$K,$H$1+3,FALSE)</f>
        <v>悬赏任务：消灭霍松·加伯</v>
      </c>
      <c r="D78" s="593" t="str">
        <f>VLOOKUP(A78,BountyData!$A:$K,8,FALSE)</f>
        <v>A1</v>
      </c>
      <c r="E78" s="81" t="str">
        <f>VLOOKUP(A78,BountyData!$A:$K,$H$1+8,FALSE)</f>
        <v>烂木林</v>
      </c>
      <c r="F78" s="659" t="str">
        <f>VLOOKUP(A78,BountyData!$A:$K,2,FALSE)</f>
        <v>是</v>
      </c>
    </row>
    <row r="79" spans="1:6">
      <c r="A79" s="614" t="s">
        <v>4944</v>
      </c>
      <c r="B79" s="653" t="str">
        <f>VLOOKUP(A79,BountyData!$A:$K,3,FALSE)</f>
        <v>消灭紫怪</v>
      </c>
      <c r="C79" s="654" t="str">
        <f>VLOOKUP(A79,BountyData!$A:$K,$H$1+3,FALSE)</f>
        <v>悬赏任务：消灭布罗内勋爵</v>
      </c>
      <c r="D79" s="593" t="str">
        <f>VLOOKUP(A79,BountyData!$A:$K,8,FALSE)</f>
        <v>A1</v>
      </c>
      <c r="E79" s="81" t="str">
        <f>VLOOKUP(A79,BountyData!$A:$K,$H$1+8,FALSE)</f>
        <v>烂木林</v>
      </c>
      <c r="F79" s="659" t="str">
        <f>VLOOKUP(A79,BountyData!$A:$K,2,FALSE)</f>
        <v>是</v>
      </c>
    </row>
    <row r="80" spans="1:6">
      <c r="A80" s="614" t="s">
        <v>6478</v>
      </c>
      <c r="B80" s="653" t="str">
        <f>VLOOKUP(A80,BountyData!$A:$K,3,FALSE)</f>
        <v>消灭紫怪</v>
      </c>
      <c r="C80" s="654" t="str">
        <f>VLOOKUP(A80,BountyData!$A:$K,$H$1+3,FALSE)</f>
        <v>悬赏任务：消灭巴克斯图斯</v>
      </c>
      <c r="D80" s="593" t="str">
        <f>VLOOKUP(A80,BountyData!$A:$K,8,FALSE)</f>
        <v>A1</v>
      </c>
      <c r="E80" s="81" t="str">
        <f>VLOOKUP(A80,BountyData!$A:$K,$H$1+8,FALSE)</f>
        <v>李奥瑞克的庄园</v>
      </c>
      <c r="F80" s="659" t="str">
        <f>VLOOKUP(A80,BountyData!$A:$K,2,FALSE)</f>
        <v>是</v>
      </c>
    </row>
    <row r="81" spans="1:6">
      <c r="A81" s="614" t="s">
        <v>6476</v>
      </c>
      <c r="B81" s="653" t="str">
        <f>VLOOKUP(A81,BountyData!$A:$K,3,FALSE)</f>
        <v>消灭紫怪</v>
      </c>
      <c r="C81" s="654" t="str">
        <f>VLOOKUP(A81,BountyData!$A:$K,$H$1+3,FALSE)</f>
        <v>悬赏任务：消灭波亚斯克</v>
      </c>
      <c r="D81" s="593" t="str">
        <f>VLOOKUP(A81,BountyData!$A:$K,8,FALSE)</f>
        <v>A1</v>
      </c>
      <c r="E81" s="81" t="str">
        <f>VLOOKUP(A81,BountyData!$A:$K,$H$1+8,FALSE)</f>
        <v>李奥瑞克的庄园</v>
      </c>
      <c r="F81" s="659" t="str">
        <f>VLOOKUP(A81,BountyData!$A:$K,2,FALSE)</f>
        <v>是</v>
      </c>
    </row>
    <row r="82" spans="1:6">
      <c r="A82" s="614" t="s">
        <v>6474</v>
      </c>
      <c r="B82" s="653" t="str">
        <f>VLOOKUP(A82,BountyData!$A:$K,3,FALSE)</f>
        <v>消灭紫怪</v>
      </c>
      <c r="C82" s="654" t="str">
        <f>VLOOKUP(A82,BountyData!$A:$K,$H$1+3,FALSE)</f>
        <v>悬赏任务：消灭汉内斯</v>
      </c>
      <c r="D82" s="593" t="str">
        <f>VLOOKUP(A82,BountyData!$A:$K,8,FALSE)</f>
        <v>A1</v>
      </c>
      <c r="E82" s="81" t="str">
        <f>VLOOKUP(A82,BountyData!$A:$K,$H$1+8,FALSE)</f>
        <v>李奥瑞克的庄园</v>
      </c>
      <c r="F82" s="659" t="str">
        <f>VLOOKUP(A82,BountyData!$A:$K,2,FALSE)</f>
        <v>是</v>
      </c>
    </row>
    <row r="83" spans="1:6">
      <c r="A83" s="614" t="s">
        <v>6472</v>
      </c>
      <c r="B83" s="653" t="str">
        <f>VLOOKUP(A83,BountyData!$A:$K,3,FALSE)</f>
        <v>消灭紫怪</v>
      </c>
      <c r="C83" s="654" t="str">
        <f>VLOOKUP(A83,BountyData!$A:$K,$H$1+3,FALSE)</f>
        <v>悬赏任务：消灭乔汉斯</v>
      </c>
      <c r="D83" s="593" t="str">
        <f>VLOOKUP(A83,BountyData!$A:$K,8,FALSE)</f>
        <v>A1</v>
      </c>
      <c r="E83" s="81" t="str">
        <f>VLOOKUP(A83,BountyData!$A:$K,$H$1+8,FALSE)</f>
        <v>李奥瑞克的庄园</v>
      </c>
      <c r="F83" s="659" t="str">
        <f>VLOOKUP(A83,BountyData!$A:$K,2,FALSE)</f>
        <v>是</v>
      </c>
    </row>
    <row r="84" spans="1:6">
      <c r="A84" s="614" t="s">
        <v>6470</v>
      </c>
      <c r="B84" s="653" t="str">
        <f>VLOOKUP(A84,BountyData!$A:$K,3,FALSE)</f>
        <v>消灭紫怪</v>
      </c>
      <c r="C84" s="654" t="str">
        <f>VLOOKUP(A84,BountyData!$A:$K,$H$1+3,FALSE)</f>
        <v>悬赏任务：消灭朱维安</v>
      </c>
      <c r="D84" s="593" t="str">
        <f>VLOOKUP(A84,BountyData!$A:$K,8,FALSE)</f>
        <v>A1</v>
      </c>
      <c r="E84" s="81" t="str">
        <f>VLOOKUP(A84,BountyData!$A:$K,$H$1+8,FALSE)</f>
        <v>李奥瑞克的庄园</v>
      </c>
      <c r="F84" s="659" t="str">
        <f>VLOOKUP(A84,BountyData!$A:$K,2,FALSE)</f>
        <v>是</v>
      </c>
    </row>
    <row r="85" spans="1:6">
      <c r="A85" s="614" t="s">
        <v>6468</v>
      </c>
      <c r="B85" s="653" t="str">
        <f>VLOOKUP(A85,BountyData!$A:$K,3,FALSE)</f>
        <v>消灭紫怪</v>
      </c>
      <c r="C85" s="654" t="str">
        <f>VLOOKUP(A85,BountyData!$A:$K,$H$1+3,FALSE)</f>
        <v>悬赏任务：消灭摩根·勒戴</v>
      </c>
      <c r="D85" s="593" t="str">
        <f>VLOOKUP(A85,BountyData!$A:$K,8,FALSE)</f>
        <v>A1</v>
      </c>
      <c r="E85" s="81" t="str">
        <f>VLOOKUP(A85,BountyData!$A:$K,$H$1+8,FALSE)</f>
        <v>李奥瑞克的庄园</v>
      </c>
      <c r="F85" s="659" t="str">
        <f>VLOOKUP(A85,BountyData!$A:$K,2,FALSE)</f>
        <v>是</v>
      </c>
    </row>
    <row r="86" spans="1:6">
      <c r="A86" s="614" t="s">
        <v>6467</v>
      </c>
      <c r="B86" s="653" t="str">
        <f>VLOOKUP(A86,BountyData!$A:$K,3,FALSE)</f>
        <v>消灭紫怪</v>
      </c>
      <c r="C86" s="654" t="str">
        <f>VLOOKUP(A86,BountyData!$A:$K,$H$1+3,FALSE)</f>
        <v>悬赏任务：消灭斯帕萨里</v>
      </c>
      <c r="D86" s="593" t="str">
        <f>VLOOKUP(A86,BountyData!$A:$K,8,FALSE)</f>
        <v>A1</v>
      </c>
      <c r="E86" s="81" t="str">
        <f>VLOOKUP(A86,BountyData!$A:$K,$H$1+8,FALSE)</f>
        <v>李奥瑞克的庄园</v>
      </c>
      <c r="F86" s="659" t="str">
        <f>VLOOKUP(A86,BountyData!$A:$K,2,FALSE)</f>
        <v>是</v>
      </c>
    </row>
    <row r="87" spans="1:6">
      <c r="A87" s="614" t="s">
        <v>6465</v>
      </c>
      <c r="B87" s="653" t="str">
        <f>VLOOKUP(A87,BountyData!$A:$K,3,FALSE)</f>
        <v>消灭紫怪</v>
      </c>
      <c r="C87" s="654" t="str">
        <f>VLOOKUP(A87,BountyData!$A:$K,$H$1+3,FALSE)</f>
        <v>悬赏任务：消灭沃伦</v>
      </c>
      <c r="D87" s="593" t="str">
        <f>VLOOKUP(A87,BountyData!$A:$K,8,FALSE)</f>
        <v>A1</v>
      </c>
      <c r="E87" s="81" t="str">
        <f>VLOOKUP(A87,BountyData!$A:$K,$H$1+8,FALSE)</f>
        <v>李奥瑞克的庄园</v>
      </c>
      <c r="F87" s="659" t="str">
        <f>VLOOKUP(A87,BountyData!$A:$K,2,FALSE)</f>
        <v>是</v>
      </c>
    </row>
    <row r="88" spans="1:6">
      <c r="A88" s="614" t="s">
        <v>4335</v>
      </c>
      <c r="B88" s="588" t="str">
        <f>VLOOKUP(A88,BountyData!$A:$K,3,FALSE)</f>
        <v>怪物全清</v>
      </c>
      <c r="C88" s="599" t="str">
        <f>VLOOKUP(A88,BountyData!$A:$K,$H$1+3,FALSE)</f>
        <v>悬赏任务：清理月亮部族洞穴</v>
      </c>
      <c r="D88" s="593" t="str">
        <f>VLOOKUP(A88,BountyData!$A:$K,8,FALSE)</f>
        <v>A1</v>
      </c>
      <c r="E88" s="81" t="str">
        <f>VLOOKUP(A88,BountyData!$A:$K,$H$1+8,FALSE)</f>
        <v>南方高地</v>
      </c>
      <c r="F88" s="659" t="str">
        <f>VLOOKUP(A88,BountyData!$A:$K,2,FALSE)</f>
        <v>是</v>
      </c>
    </row>
    <row r="89" spans="1:6">
      <c r="A89" s="614" t="s">
        <v>5065</v>
      </c>
      <c r="B89" s="589" t="str">
        <f>VLOOKUP(A89,BountyData!$A:$K,3,FALSE)</f>
        <v>扫荡野营</v>
      </c>
      <c r="C89" s="600" t="str">
        <f>VLOOKUP(A89,BountyData!$A:$K,$H$1+3,FALSE)</f>
        <v>悬赏任务：死灰复燃的三神教</v>
      </c>
      <c r="D89" s="593" t="str">
        <f>VLOOKUP(A89,BountyData!$A:$K,8,FALSE)</f>
        <v>A1</v>
      </c>
      <c r="E89" s="81" t="str">
        <f>VLOOKUP(A89,BountyData!$A:$K,$H$1+8,FALSE)</f>
        <v>南方高地</v>
      </c>
      <c r="F89" s="659" t="str">
        <f>VLOOKUP(A89,BountyData!$A:$K,2,FALSE)</f>
        <v>是</v>
      </c>
    </row>
    <row r="90" spans="1:6">
      <c r="A90" s="614" t="s">
        <v>4320</v>
      </c>
      <c r="B90" s="651" t="str">
        <f>VLOOKUP(A90,BountyData!$A:$K,3,FALSE)</f>
        <v>完成事件</v>
      </c>
      <c r="C90" s="652" t="str">
        <f>VLOOKUP(A90,BountyData!$A:$K,$H$1+3,FALSE)</f>
        <v>悬赏任务：贾巴德的复仇</v>
      </c>
      <c r="D90" s="593" t="str">
        <f>VLOOKUP(A90,BountyData!$A:$K,8,FALSE)</f>
        <v>A1</v>
      </c>
      <c r="E90" s="81" t="str">
        <f>VLOOKUP(A90,BountyData!$A:$K,$H$1+8,FALSE)</f>
        <v>南方高地</v>
      </c>
      <c r="F90" s="659" t="str">
        <f>VLOOKUP(A90,BountyData!$A:$K,2,FALSE)</f>
        <v>是</v>
      </c>
    </row>
    <row r="91" spans="1:6">
      <c r="A91" s="614" t="s">
        <v>4989</v>
      </c>
      <c r="B91" s="651" t="str">
        <f>VLOOKUP(A91,BountyData!$A:$K,3,FALSE)</f>
        <v>完成事件</v>
      </c>
      <c r="C91" s="652" t="str">
        <f>VLOOKUP(A91,BountyData!$A:$K,$H$1+3,FALSE)</f>
        <v>悬赏任务：诅咒营地</v>
      </c>
      <c r="D91" s="593" t="str">
        <f>VLOOKUP(A91,BountyData!$A:$K,8,FALSE)</f>
        <v>A1</v>
      </c>
      <c r="E91" s="81" t="str">
        <f>VLOOKUP(A91,BountyData!$A:$K,$H$1+8,FALSE)</f>
        <v>南方高地</v>
      </c>
      <c r="F91" s="659" t="str">
        <f>VLOOKUP(A91,BountyData!$A:$K,2,FALSE)</f>
        <v>是</v>
      </c>
    </row>
    <row r="92" spans="1:6">
      <c r="A92" s="614" t="s">
        <v>4318</v>
      </c>
      <c r="B92" s="651" t="str">
        <f>VLOOKUP(A92,BountyData!$A:$K,3,FALSE)</f>
        <v>完成事件</v>
      </c>
      <c r="C92" s="652" t="str">
        <f>VLOOKUP(A92,BountyData!$A:$K,$H$1+3,FALSE)</f>
        <v>悬赏任务：崩塌之塔</v>
      </c>
      <c r="D92" s="593" t="str">
        <f>VLOOKUP(A92,BountyData!$A:$K,8,FALSE)</f>
        <v>A1</v>
      </c>
      <c r="E92" s="81" t="str">
        <f>VLOOKUP(A92,BountyData!$A:$K,$H$1+8,FALSE)</f>
        <v>南方高地</v>
      </c>
      <c r="F92" s="659" t="str">
        <f>VLOOKUP(A92,BountyData!$A:$K,2,FALSE)</f>
        <v>是</v>
      </c>
    </row>
    <row r="93" spans="1:6">
      <c r="A93" s="614" t="s">
        <v>4322</v>
      </c>
      <c r="B93" s="651" t="str">
        <f>VLOOKUP(A93,BountyData!$A:$K,3,FALSE)</f>
        <v>完成事件</v>
      </c>
      <c r="C93" s="652" t="str">
        <f>VLOOKUP(A93,BountyData!$A:$K,$H$1+3,FALSE)</f>
        <v>悬赏任务：被抢走的剑鞘</v>
      </c>
      <c r="D93" s="593" t="str">
        <f>VLOOKUP(A93,BountyData!$A:$K,8,FALSE)</f>
        <v>A1</v>
      </c>
      <c r="E93" s="81" t="str">
        <f>VLOOKUP(A93,BountyData!$A:$K,$H$1+8,FALSE)</f>
        <v>南方高地</v>
      </c>
      <c r="F93" s="659" t="str">
        <f>VLOOKUP(A93,BountyData!$A:$K,2,FALSE)</f>
        <v>是</v>
      </c>
    </row>
    <row r="94" spans="1:6">
      <c r="A94" s="614" t="s">
        <v>4329</v>
      </c>
      <c r="B94" s="653" t="str">
        <f>VLOOKUP(A94,BountyData!$A:$K,3,FALSE)</f>
        <v>消灭紫怪</v>
      </c>
      <c r="C94" s="654" t="str">
        <f>VLOOKUP(A94,BountyData!$A:$K,$H$1+3,FALSE)</f>
        <v>悬赏任务：消灭布拉斯·穿刺者</v>
      </c>
      <c r="D94" s="593" t="str">
        <f>VLOOKUP(A94,BountyData!$A:$K,8,FALSE)</f>
        <v>A1</v>
      </c>
      <c r="E94" s="81" t="str">
        <f>VLOOKUP(A94,BountyData!$A:$K,$H$1+8,FALSE)</f>
        <v>南方高地</v>
      </c>
      <c r="F94" s="659" t="str">
        <f>VLOOKUP(A94,BountyData!$A:$K,2,FALSE)</f>
        <v>是</v>
      </c>
    </row>
    <row r="95" spans="1:6">
      <c r="A95" s="614" t="s">
        <v>4324</v>
      </c>
      <c r="B95" s="653" t="str">
        <f>VLOOKUP(A95,BountyData!$A:$K,3,FALSE)</f>
        <v>消灭紫怪</v>
      </c>
      <c r="C95" s="654" t="str">
        <f>VLOOKUP(A95,BountyData!$A:$K,$H$1+3,FALSE)</f>
        <v>悬赏任务：消灭死亡召唤者卡德胡</v>
      </c>
      <c r="D95" s="593" t="str">
        <f>VLOOKUP(A95,BountyData!$A:$K,8,FALSE)</f>
        <v>A1</v>
      </c>
      <c r="E95" s="81" t="str">
        <f>VLOOKUP(A95,BountyData!$A:$K,$H$1+8,FALSE)</f>
        <v>南方高地</v>
      </c>
      <c r="F95" s="659" t="str">
        <f>VLOOKUP(A95,BountyData!$A:$K,2,FALSE)</f>
        <v>是</v>
      </c>
    </row>
    <row r="96" spans="1:6">
      <c r="A96" s="614" t="s">
        <v>4325</v>
      </c>
      <c r="B96" s="653" t="str">
        <f>VLOOKUP(A96,BountyData!$A:$K,3,FALSE)</f>
        <v>消灭紫怪</v>
      </c>
      <c r="C96" s="654" t="str">
        <f>VLOOKUP(A96,BountyData!$A:$K,$H$1+3,FALSE)</f>
        <v>悬赏任务：消灭楚巴·卡兹拉</v>
      </c>
      <c r="D96" s="593" t="str">
        <f>VLOOKUP(A96,BountyData!$A:$K,8,FALSE)</f>
        <v>A1</v>
      </c>
      <c r="E96" s="81" t="str">
        <f>VLOOKUP(A96,BountyData!$A:$K,$H$1+8,FALSE)</f>
        <v>南方高地</v>
      </c>
      <c r="F96" s="602" t="str">
        <f>VLOOKUP(A96,BountyData!$A:$K,2,FALSE)</f>
        <v>2.4尚未启用</v>
      </c>
    </row>
    <row r="97" spans="1:6">
      <c r="A97" s="614" t="s">
        <v>4327</v>
      </c>
      <c r="B97" s="653" t="str">
        <f>VLOOKUP(A97,BountyData!$A:$K,3,FALSE)</f>
        <v>消灭紫怪</v>
      </c>
      <c r="C97" s="654" t="str">
        <f>VLOOKUP(A97,BountyData!$A:$K,$H$1+3,FALSE)</f>
        <v>悬赏任务：消灭战士罗格鲁特</v>
      </c>
      <c r="D97" s="593" t="str">
        <f>VLOOKUP(A97,BountyData!$A:$K,8,FALSE)</f>
        <v>A1</v>
      </c>
      <c r="E97" s="81" t="str">
        <f>VLOOKUP(A97,BountyData!$A:$K,$H$1+8,FALSE)</f>
        <v>南方高地</v>
      </c>
      <c r="F97" s="659" t="str">
        <f>VLOOKUP(A97,BountyData!$A:$K,2,FALSE)</f>
        <v>是</v>
      </c>
    </row>
    <row r="98" spans="1:6">
      <c r="A98" s="614" t="s">
        <v>4331</v>
      </c>
      <c r="B98" s="653" t="str">
        <f>VLOOKUP(A98,BountyData!$A:$K,3,FALSE)</f>
        <v>消灭紫怪</v>
      </c>
      <c r="C98" s="654" t="str">
        <f>VLOOKUP(A98,BountyData!$A:$K,$H$1+3,FALSE)</f>
        <v>悬赏任务：消灭强大的罗扎克</v>
      </c>
      <c r="D98" s="593" t="str">
        <f>VLOOKUP(A98,BountyData!$A:$K,8,FALSE)</f>
        <v>A1</v>
      </c>
      <c r="E98" s="81" t="str">
        <f>VLOOKUP(A98,BountyData!$A:$K,$H$1+8,FALSE)</f>
        <v>南方高地</v>
      </c>
      <c r="F98" s="659" t="str">
        <f>VLOOKUP(A98,BountyData!$A:$K,2,FALSE)</f>
        <v>是</v>
      </c>
    </row>
    <row r="99" spans="1:6">
      <c r="A99" s="614" t="s">
        <v>4333</v>
      </c>
      <c r="B99" s="653" t="str">
        <f>VLOOKUP(A99,BountyData!$A:$K,3,FALSE)</f>
        <v>消灭紫怪</v>
      </c>
      <c r="C99" s="654" t="str">
        <f>VLOOKUP(A99,BountyData!$A:$K,$H$1+3,FALSE)</f>
        <v>悬赏任务：消灭红石</v>
      </c>
      <c r="D99" s="593" t="str">
        <f>VLOOKUP(A99,BountyData!$A:$K,8,FALSE)</f>
        <v>A1</v>
      </c>
      <c r="E99" s="81" t="str">
        <f>VLOOKUP(A99,BountyData!$A:$K,$H$1+8,FALSE)</f>
        <v>南方高地</v>
      </c>
      <c r="F99" s="659" t="str">
        <f>VLOOKUP(A99,BountyData!$A:$K,2,FALSE)</f>
        <v>是</v>
      </c>
    </row>
    <row r="100" spans="1:6">
      <c r="A100" s="614" t="s">
        <v>4326</v>
      </c>
      <c r="B100" s="653" t="str">
        <f>VLOOKUP(A100,BountyData!$A:$K,3,FALSE)</f>
        <v>消灭紫怪</v>
      </c>
      <c r="C100" s="654" t="str">
        <f>VLOOKUP(A100,BountyData!$A:$K,$H$1+3,FALSE)</f>
        <v>悬赏任务：消灭斯克林拉斯</v>
      </c>
      <c r="D100" s="593" t="str">
        <f>VLOOKUP(A100,BountyData!$A:$K,8,FALSE)</f>
        <v>A1</v>
      </c>
      <c r="E100" s="81" t="str">
        <f>VLOOKUP(A100,BountyData!$A:$K,$H$1+8,FALSE)</f>
        <v>南方高地</v>
      </c>
      <c r="F100" s="602" t="str">
        <f>VLOOKUP(A100,BountyData!$A:$K,2,FALSE)</f>
        <v>2.4尚未启用</v>
      </c>
    </row>
    <row r="101" spans="1:6">
      <c r="A101" s="614" t="s">
        <v>5077</v>
      </c>
      <c r="B101" s="589" t="str">
        <f>VLOOKUP(A101,BountyData!$A:$K,3,FALSE)</f>
        <v>扫荡野营</v>
      </c>
      <c r="C101" s="600" t="str">
        <f>VLOOKUP(A101,BountyData!$A:$K,$H$1+3,FALSE)</f>
        <v>悬赏任务：蛛后的点心</v>
      </c>
      <c r="D101" s="593" t="str">
        <f>VLOOKUP(A101,BountyData!$A:$K,8,FALSE)</f>
        <v>A1</v>
      </c>
      <c r="E101" s="81" t="str">
        <f>VLOOKUP(A101,BountyData!$A:$K,$H$1+8,FALSE)</f>
        <v>蛛后洞窟</v>
      </c>
      <c r="F101" s="659" t="str">
        <f>VLOOKUP(A101,BountyData!$A:$K,2,FALSE)</f>
        <v>是</v>
      </c>
    </row>
    <row r="102" spans="1:6">
      <c r="A102" s="614" t="s">
        <v>5023</v>
      </c>
      <c r="B102" s="651" t="str">
        <f>VLOOKUP(A102,BountyData!$A:$K,3,FALSE)</f>
        <v>完成事件</v>
      </c>
      <c r="C102" s="652" t="str">
        <f>VLOOKUP(A102,BountyData!$A:$K,$H$1+3,FALSE)</f>
        <v>悬赏任务：诅咒巢穴</v>
      </c>
      <c r="D102" s="593" t="str">
        <f>VLOOKUP(A102,BountyData!$A:$K,8,FALSE)</f>
        <v>A1</v>
      </c>
      <c r="E102" s="81" t="str">
        <f>VLOOKUP(A102,BountyData!$A:$K,$H$1+8,FALSE)</f>
        <v>蛛后洞窟</v>
      </c>
      <c r="F102" s="659" t="str">
        <f>VLOOKUP(A102,BountyData!$A:$K,2,FALSE)</f>
        <v>是</v>
      </c>
    </row>
    <row r="103" spans="1:6">
      <c r="A103" s="614" t="s">
        <v>4363</v>
      </c>
      <c r="B103" s="590" t="str">
        <f>VLOOKUP(A103,BountyData!$A:$K,3,FALSE)</f>
        <v>消灭首领</v>
      </c>
      <c r="C103" s="601" t="str">
        <f>VLOOKUP(A103,BountyData!$A:$K,$H$1+3,FALSE)</f>
        <v>悬赏任务：消灭阿拉尼娅蛛后</v>
      </c>
      <c r="D103" s="593" t="str">
        <f>VLOOKUP(A103,BountyData!$A:$K,8,FALSE)</f>
        <v>A1</v>
      </c>
      <c r="E103" s="81" t="str">
        <f>VLOOKUP(A103,BountyData!$A:$K,$H$1+8,FALSE)</f>
        <v>蛛后洞窟</v>
      </c>
      <c r="F103" s="659" t="str">
        <f>VLOOKUP(A103,BountyData!$A:$K,2,FALSE)</f>
        <v>是</v>
      </c>
    </row>
    <row r="104" spans="1:6">
      <c r="A104" s="614" t="s">
        <v>4370</v>
      </c>
      <c r="B104" s="653" t="str">
        <f>VLOOKUP(A104,BountyData!$A:$K,3,FALSE)</f>
        <v>消灭紫怪</v>
      </c>
      <c r="C104" s="654" t="str">
        <f>VLOOKUP(A104,BountyData!$A:$K,$H$1+3,FALSE)</f>
        <v>悬赏任务：消灭剧毒的阿瑟克</v>
      </c>
      <c r="D104" s="593" t="str">
        <f>VLOOKUP(A104,BountyData!$A:$K,8,FALSE)</f>
        <v>A1</v>
      </c>
      <c r="E104" s="81" t="str">
        <f>VLOOKUP(A104,BountyData!$A:$K,$H$1+8,FALSE)</f>
        <v>蛛后洞窟</v>
      </c>
      <c r="F104" s="659" t="str">
        <f>VLOOKUP(A104,BountyData!$A:$K,2,FALSE)</f>
        <v>是</v>
      </c>
    </row>
    <row r="105" spans="1:6">
      <c r="A105" s="614" t="s">
        <v>4371</v>
      </c>
      <c r="B105" s="653" t="str">
        <f>VLOOKUP(A105,BountyData!$A:$K,3,FALSE)</f>
        <v>消灭紫怪</v>
      </c>
      <c r="C105" s="654" t="str">
        <f>VLOOKUP(A105,BountyData!$A:$K,$H$1+3,FALSE)</f>
        <v>悬赏任务：消灭库拉什·被唾弃者</v>
      </c>
      <c r="D105" s="593" t="str">
        <f>VLOOKUP(A105,BountyData!$A:$K,8,FALSE)</f>
        <v>A1</v>
      </c>
      <c r="E105" s="81" t="str">
        <f>VLOOKUP(A105,BountyData!$A:$K,$H$1+8,FALSE)</f>
        <v>蛛后洞窟</v>
      </c>
      <c r="F105" s="659" t="str">
        <f>VLOOKUP(A105,BountyData!$A:$K,2,FALSE)</f>
        <v>是</v>
      </c>
    </row>
    <row r="106" spans="1:6">
      <c r="A106" s="614" t="s">
        <v>4361</v>
      </c>
      <c r="B106" s="653" t="str">
        <f>VLOOKUP(A106,BountyData!$A:$K,3,FALSE)</f>
        <v>消灭紫怪</v>
      </c>
      <c r="C106" s="654" t="str">
        <f>VLOOKUP(A106,BountyData!$A:$K,$H$1+3,FALSE)</f>
        <v>悬赏任务：消灭拉斯林·寡妇制造者</v>
      </c>
      <c r="D106" s="593" t="str">
        <f>VLOOKUP(A106,BountyData!$A:$K,8,FALSE)</f>
        <v>A1</v>
      </c>
      <c r="E106" s="81" t="str">
        <f>VLOOKUP(A106,BountyData!$A:$K,$H$1+8,FALSE)</f>
        <v>蛛后洞窟</v>
      </c>
      <c r="F106" s="659" t="str">
        <f>VLOOKUP(A106,BountyData!$A:$K,2,FALSE)</f>
        <v>是</v>
      </c>
    </row>
    <row r="107" spans="1:6">
      <c r="A107" s="614" t="s">
        <v>4359</v>
      </c>
      <c r="B107" s="653" t="str">
        <f>VLOOKUP(A107,BountyData!$A:$K,3,FALSE)</f>
        <v>消灭紫怪</v>
      </c>
      <c r="C107" s="654" t="str">
        <f>VLOOKUP(A107,BountyData!$A:$K,$H$1+3,FALSE)</f>
        <v>悬赏任务：消灭毒液虫</v>
      </c>
      <c r="D107" s="593" t="str">
        <f>VLOOKUP(A107,BountyData!$A:$K,8,FALSE)</f>
        <v>A1</v>
      </c>
      <c r="E107" s="81" t="str">
        <f>VLOOKUP(A107,BountyData!$A:$K,$H$1+8,FALSE)</f>
        <v>蛛后洞窟</v>
      </c>
      <c r="F107" s="659" t="str">
        <f>VLOOKUP(A107,BountyData!$A:$K,2,FALSE)</f>
        <v>是</v>
      </c>
    </row>
    <row r="108" spans="1:6">
      <c r="A108" s="614" t="s">
        <v>4357</v>
      </c>
      <c r="B108" s="653" t="str">
        <f>VLOOKUP(A108,BountyData!$A:$K,3,FALSE)</f>
        <v>消灭紫怪</v>
      </c>
      <c r="C108" s="654" t="str">
        <f>VLOOKUP(A108,BountyData!$A:$K,$H$1+3,FALSE)</f>
        <v>悬赏任务：消灭剧毒的蜇洛比</v>
      </c>
      <c r="D108" s="593" t="str">
        <f>VLOOKUP(A108,BountyData!$A:$K,8,FALSE)</f>
        <v>A1</v>
      </c>
      <c r="E108" s="81" t="str">
        <f>VLOOKUP(A108,BountyData!$A:$K,$H$1+8,FALSE)</f>
        <v>蛛后洞窟</v>
      </c>
      <c r="F108" s="659" t="str">
        <f>VLOOKUP(A108,BountyData!$A:$K,2,FALSE)</f>
        <v>是</v>
      </c>
    </row>
    <row r="109" spans="1:6">
      <c r="A109" s="614" t="s">
        <v>4540</v>
      </c>
      <c r="B109" s="590" t="str">
        <f>VLOOKUP(A109,BountyData!$A:$K,3,FALSE)</f>
        <v>消灭首领</v>
      </c>
      <c r="C109" s="601" t="str">
        <f>VLOOKUP(A109,BountyData!$A:$K,$H$1+3,FALSE)</f>
        <v>悬赏任务：消灭麦格妲</v>
      </c>
      <c r="D109" s="594" t="str">
        <f>VLOOKUP(A109,BountyData!$A:$K,8,FALSE)</f>
        <v>A2</v>
      </c>
      <c r="E109" s="96" t="str">
        <f>VLOOKUP(A109,BountyData!$A:$K,$H$1+8,FALSE)</f>
        <v>阿尔卡纳斯之路</v>
      </c>
      <c r="F109" s="659" t="str">
        <f>VLOOKUP(A109,BountyData!$A:$K,2,FALSE)</f>
        <v>是</v>
      </c>
    </row>
    <row r="110" spans="1:6">
      <c r="A110" s="614" t="s">
        <v>4383</v>
      </c>
      <c r="B110" s="653" t="str">
        <f>VLOOKUP(A110,BountyData!$A:$K,3,FALSE)</f>
        <v>消灭紫怪</v>
      </c>
      <c r="C110" s="654" t="str">
        <f>VLOOKUP(A110,BountyData!$A:$K,$H$1+3,FALSE)</f>
        <v>悬赏任务：消灭敲骨手</v>
      </c>
      <c r="D110" s="594" t="str">
        <f>VLOOKUP(A110,BountyData!$A:$K,8,FALSE)</f>
        <v>A2</v>
      </c>
      <c r="E110" s="96" t="str">
        <f>VLOOKUP(A110,BountyData!$A:$K,$H$1+8,FALSE)</f>
        <v>阿尔卡纳斯之路</v>
      </c>
      <c r="F110" s="659" t="str">
        <f>VLOOKUP(A110,BountyData!$A:$K,2,FALSE)</f>
        <v>是</v>
      </c>
    </row>
    <row r="111" spans="1:6">
      <c r="A111" s="614" t="s">
        <v>4544</v>
      </c>
      <c r="B111" s="653" t="str">
        <f>VLOOKUP(A111,BountyData!$A:$K,3,FALSE)</f>
        <v>消灭紫怪</v>
      </c>
      <c r="C111" s="654" t="str">
        <f>VLOOKUP(A111,BountyData!$A:$K,$H$1+3,FALSE)</f>
        <v>悬赏任务：消灭高阶邪教徒墨杜斯</v>
      </c>
      <c r="D111" s="594" t="str">
        <f>VLOOKUP(A111,BountyData!$A:$K,8,FALSE)</f>
        <v>A2</v>
      </c>
      <c r="E111" s="96" t="str">
        <f>VLOOKUP(A111,BountyData!$A:$K,$H$1+8,FALSE)</f>
        <v>阿尔卡纳斯之路</v>
      </c>
      <c r="F111" s="659" t="str">
        <f>VLOOKUP(A111,BountyData!$A:$K,2,FALSE)</f>
        <v>是</v>
      </c>
    </row>
    <row r="112" spans="1:6">
      <c r="A112" s="614" t="s">
        <v>4546</v>
      </c>
      <c r="B112" s="653" t="str">
        <f>VLOOKUP(A112,BountyData!$A:$K,3,FALSE)</f>
        <v>消灭紫怪</v>
      </c>
      <c r="C112" s="654" t="str">
        <f>VLOOKUP(A112,BountyData!$A:$K,$H$1+3,FALSE)</f>
        <v>悬赏任务：消灭传教士约鲁姆</v>
      </c>
      <c r="D112" s="594" t="str">
        <f>VLOOKUP(A112,BountyData!$A:$K,8,FALSE)</f>
        <v>A2</v>
      </c>
      <c r="E112" s="96" t="str">
        <f>VLOOKUP(A112,BountyData!$A:$K,$H$1+8,FALSE)</f>
        <v>阿尔卡纳斯之路</v>
      </c>
      <c r="F112" s="659" t="str">
        <f>VLOOKUP(A112,BountyData!$A:$K,2,FALSE)</f>
        <v>是</v>
      </c>
    </row>
    <row r="113" spans="1:6">
      <c r="A113" s="614" t="s">
        <v>4548</v>
      </c>
      <c r="B113" s="653" t="str">
        <f>VLOOKUP(A113,BountyData!$A:$K,3,FALSE)</f>
        <v>消灭紫怪</v>
      </c>
      <c r="C113" s="654" t="str">
        <f>VLOOKUP(A113,BountyData!$A:$K,$H$1+3,FALSE)</f>
        <v>悬赏任务：消灭狠砸怪</v>
      </c>
      <c r="D113" s="594" t="str">
        <f>VLOOKUP(A113,BountyData!$A:$K,8,FALSE)</f>
        <v>A2</v>
      </c>
      <c r="E113" s="96" t="str">
        <f>VLOOKUP(A113,BountyData!$A:$K,$H$1+8,FALSE)</f>
        <v>阿尔卡纳斯之路</v>
      </c>
      <c r="F113" s="659" t="str">
        <f>VLOOKUP(A113,BountyData!$A:$K,2,FALSE)</f>
        <v>是</v>
      </c>
    </row>
    <row r="114" spans="1:6">
      <c r="A114" s="614" t="s">
        <v>4385</v>
      </c>
      <c r="B114" s="653" t="str">
        <f>VLOOKUP(A114,BountyData!$A:$K,3,FALSE)</f>
        <v>消灭紫怪</v>
      </c>
      <c r="C114" s="654" t="str">
        <f>VLOOKUP(A114,BountyData!$A:$K,$H$1+3,FALSE)</f>
        <v>悬赏任务：消灭唤魔师尚达尔</v>
      </c>
      <c r="D114" s="594" t="str">
        <f>VLOOKUP(A114,BountyData!$A:$K,8,FALSE)</f>
        <v>A2</v>
      </c>
      <c r="E114" s="96" t="str">
        <f>VLOOKUP(A114,BountyData!$A:$K,$H$1+8,FALSE)</f>
        <v>阿尔卡纳斯之路</v>
      </c>
      <c r="F114" s="659" t="str">
        <f>VLOOKUP(A114,BountyData!$A:$K,2,FALSE)</f>
        <v>是</v>
      </c>
    </row>
    <row r="115" spans="1:6">
      <c r="A115" s="614" t="s">
        <v>4542</v>
      </c>
      <c r="B115" s="653" t="str">
        <f>VLOOKUP(A115,BountyData!$A:$K,3,FALSE)</f>
        <v>消灭紫怪</v>
      </c>
      <c r="C115" s="654" t="str">
        <f>VLOOKUP(A115,BountyData!$A:$K,$H$1+3,FALSE)</f>
        <v>悬赏任务：消灭耶特</v>
      </c>
      <c r="D115" s="594" t="str">
        <f>VLOOKUP(A115,BountyData!$A:$K,8,FALSE)</f>
        <v>A2</v>
      </c>
      <c r="E115" s="96" t="str">
        <f>VLOOKUP(A115,BountyData!$A:$K,$H$1+8,FALSE)</f>
        <v>阿尔卡纳斯之路</v>
      </c>
      <c r="F115" s="659" t="str">
        <f>VLOOKUP(A115,BountyData!$A:$K,2,FALSE)</f>
        <v>是</v>
      </c>
    </row>
    <row r="116" spans="1:6">
      <c r="A116" s="614" t="s">
        <v>4391</v>
      </c>
      <c r="B116" s="588" t="str">
        <f>VLOOKUP(A116,BountyData!$A:$K,3,FALSE)</f>
        <v>怪物全清</v>
      </c>
      <c r="C116" s="599" t="str">
        <f>VLOOKUP(A116,BountyData!$A:$K,$H$1+3,FALSE)</f>
        <v>悬赏任务：清理远古洞穴</v>
      </c>
      <c r="D116" s="594" t="str">
        <f>VLOOKUP(A116,BountyData!$A:$K,8,FALSE)</f>
        <v>A2</v>
      </c>
      <c r="E116" s="96" t="str">
        <f>VLOOKUP(A116,BountyData!$A:$K,$H$1+8,FALSE)</f>
        <v>达尔格绿洲</v>
      </c>
      <c r="F116" s="659" t="str">
        <f>VLOOKUP(A116,BountyData!$A:$K,2,FALSE)</f>
        <v>是</v>
      </c>
    </row>
    <row r="117" spans="1:6">
      <c r="A117" s="614" t="s">
        <v>4393</v>
      </c>
      <c r="B117" s="588" t="str">
        <f>VLOOKUP(A117,BountyData!$A:$K,3,FALSE)</f>
        <v>怪物全清</v>
      </c>
      <c r="C117" s="599" t="str">
        <f>VLOOKUP(A117,BountyData!$A:$K,$H$1+3,FALSE)</f>
        <v>悬赏任务：清理漫水洞穴</v>
      </c>
      <c r="D117" s="594" t="str">
        <f>VLOOKUP(A117,BountyData!$A:$K,8,FALSE)</f>
        <v>A2</v>
      </c>
      <c r="E117" s="96" t="str">
        <f>VLOOKUP(A117,BountyData!$A:$K,$H$1+8,FALSE)</f>
        <v>达尔格绿洲</v>
      </c>
      <c r="F117" s="659" t="str">
        <f>VLOOKUP(A117,BountyData!$A:$K,2,FALSE)</f>
        <v>是</v>
      </c>
    </row>
    <row r="118" spans="1:6">
      <c r="A118" s="614" t="s">
        <v>4554</v>
      </c>
      <c r="B118" s="588" t="str">
        <f>VLOOKUP(A118,BountyData!$A:$K,3,FALSE)</f>
        <v>怪物全清</v>
      </c>
      <c r="C118" s="599" t="str">
        <f>VLOOKUP(A118,BountyData!$A:$K,$H$1+3,FALSE)</f>
        <v>悬赏任务：清理神秘洞穴</v>
      </c>
      <c r="D118" s="594" t="str">
        <f>VLOOKUP(A118,BountyData!$A:$K,8,FALSE)</f>
        <v>A2</v>
      </c>
      <c r="E118" s="96" t="str">
        <f>VLOOKUP(A118,BountyData!$A:$K,$H$1+8,FALSE)</f>
        <v>达尔格绿洲</v>
      </c>
      <c r="F118" s="659" t="str">
        <f>VLOOKUP(A118,BountyData!$A:$K,2,FALSE)</f>
        <v>是</v>
      </c>
    </row>
    <row r="119" spans="1:6">
      <c r="A119" s="614" t="s">
        <v>5067</v>
      </c>
      <c r="B119" s="589" t="str">
        <f>VLOOKUP(A119,BountyData!$A:$K,3,FALSE)</f>
        <v>扫荡野营</v>
      </c>
      <c r="C119" s="600" t="str">
        <f>VLOOKUP(A119,BountyData!$A:$K,$H$1+3,FALSE)</f>
        <v>悬赏任务：鲜血与钢铁</v>
      </c>
      <c r="D119" s="594" t="str">
        <f>VLOOKUP(A119,BountyData!$A:$K,8,FALSE)</f>
        <v>A2</v>
      </c>
      <c r="E119" s="96" t="str">
        <f>VLOOKUP(A119,BountyData!$A:$K,$H$1+8,FALSE)</f>
        <v>达尔格绿洲</v>
      </c>
      <c r="F119" s="659" t="str">
        <f>VLOOKUP(A119,BountyData!$A:$K,2,FALSE)</f>
        <v>是</v>
      </c>
    </row>
    <row r="120" spans="1:6">
      <c r="A120" s="614" t="s">
        <v>4389</v>
      </c>
      <c r="B120" s="651" t="str">
        <f>VLOOKUP(A120,BountyData!$A:$K,3,FALSE)</f>
        <v>完成事件</v>
      </c>
      <c r="C120" s="652" t="str">
        <f>VLOOKUP(A120,BountyData!$A:$K,$H$1+3,FALSE)</f>
        <v>悬赏任务：失落的坎·达卡布财宝</v>
      </c>
      <c r="D120" s="594" t="str">
        <f>VLOOKUP(A120,BountyData!$A:$K,8,FALSE)</f>
        <v>A2</v>
      </c>
      <c r="E120" s="96" t="str">
        <f>VLOOKUP(A120,BountyData!$A:$K,$H$1+8,FALSE)</f>
        <v>达尔格绿洲</v>
      </c>
      <c r="F120" s="659" t="str">
        <f>VLOOKUP(A120,BountyData!$A:$K,2,FALSE)</f>
        <v>是</v>
      </c>
    </row>
    <row r="121" spans="1:6">
      <c r="A121" s="614" t="s">
        <v>4552</v>
      </c>
      <c r="B121" s="651" t="str">
        <f>VLOOKUP(A121,BountyData!$A:$K,3,FALSE)</f>
        <v>完成事件</v>
      </c>
      <c r="C121" s="652" t="str">
        <f>VLOOKUP(A121,BountyData!$A:$K,$H$1+3,FALSE)</f>
        <v>悬赏任务：卡麦尔的囚犯</v>
      </c>
      <c r="D121" s="594" t="str">
        <f>VLOOKUP(A121,BountyData!$A:$K,8,FALSE)</f>
        <v>A2</v>
      </c>
      <c r="E121" s="96" t="str">
        <f>VLOOKUP(A121,BountyData!$A:$K,$H$1+8,FALSE)</f>
        <v>达尔格绿洲</v>
      </c>
      <c r="F121" s="659" t="str">
        <f>VLOOKUP(A121,BountyData!$A:$K,2,FALSE)</f>
        <v>是</v>
      </c>
    </row>
    <row r="122" spans="1:6">
      <c r="A122" s="614" t="s">
        <v>4550</v>
      </c>
      <c r="B122" s="651" t="str">
        <f>VLOOKUP(A122,BountyData!$A:$K,3,FALSE)</f>
        <v>完成事件</v>
      </c>
      <c r="C122" s="652" t="str">
        <f>VLOOKUP(A122,BountyData!$A:$K,$H$1+3,FALSE)</f>
        <v>悬赏任务：萨达尔的财宝</v>
      </c>
      <c r="D122" s="594" t="str">
        <f>VLOOKUP(A122,BountyData!$A:$K,8,FALSE)</f>
        <v>A2</v>
      </c>
      <c r="E122" s="96" t="str">
        <f>VLOOKUP(A122,BountyData!$A:$K,$H$1+8,FALSE)</f>
        <v>达尔格绿洲</v>
      </c>
      <c r="F122" s="659" t="str">
        <f>VLOOKUP(A122,BountyData!$A:$K,2,FALSE)</f>
        <v>是</v>
      </c>
    </row>
    <row r="123" spans="1:6">
      <c r="A123" s="614" t="s">
        <v>4387</v>
      </c>
      <c r="B123" s="651" t="str">
        <f>VLOOKUP(A123,BountyData!$A:$K,3,FALSE)</f>
        <v>完成事件</v>
      </c>
      <c r="C123" s="652" t="str">
        <f>VLOOKUP(A123,BountyData!$A:$K,$H$1+3,FALSE)</f>
        <v>悬赏任务：拉卡尼休的圣坛</v>
      </c>
      <c r="D123" s="594" t="str">
        <f>VLOOKUP(A123,BountyData!$A:$K,8,FALSE)</f>
        <v>A2</v>
      </c>
      <c r="E123" s="96" t="str">
        <f>VLOOKUP(A123,BountyData!$A:$K,$H$1+8,FALSE)</f>
        <v>达尔格绿洲</v>
      </c>
      <c r="F123" s="659" t="str">
        <f>VLOOKUP(A123,BountyData!$A:$K,2,FALSE)</f>
        <v>是</v>
      </c>
    </row>
    <row r="124" spans="1:6">
      <c r="A124" s="614" t="s">
        <v>4997</v>
      </c>
      <c r="B124" s="651" t="str">
        <f>VLOOKUP(A124,BountyData!$A:$K,3,FALSE)</f>
        <v>完成事件</v>
      </c>
      <c r="C124" s="652" t="str">
        <f>VLOOKUP(A124,BountyData!$A:$K,$H$1+3,FALSE)</f>
        <v>悬赏任务：诅咒浅滩</v>
      </c>
      <c r="D124" s="594" t="str">
        <f>VLOOKUP(A124,BountyData!$A:$K,8,FALSE)</f>
        <v>A2</v>
      </c>
      <c r="E124" s="96" t="str">
        <f>VLOOKUP(A124,BountyData!$A:$K,$H$1+8,FALSE)</f>
        <v>达尔格绿洲</v>
      </c>
      <c r="F124" s="659" t="str">
        <f>VLOOKUP(A124,BountyData!$A:$K,2,FALSE)</f>
        <v>是</v>
      </c>
    </row>
    <row r="125" spans="1:6">
      <c r="A125" s="614" t="s">
        <v>4556</v>
      </c>
      <c r="B125" s="653" t="str">
        <f>VLOOKUP(A125,BountyData!$A:$K,3,FALSE)</f>
        <v>消灭紫怪</v>
      </c>
      <c r="C125" s="654" t="str">
        <f>VLOOKUP(A125,BountyData!$A:$K,$H$1+3,FALSE)</f>
        <v>悬赏任务：消灭毕叔</v>
      </c>
      <c r="D125" s="594" t="str">
        <f>VLOOKUP(A125,BountyData!$A:$K,8,FALSE)</f>
        <v>A2</v>
      </c>
      <c r="E125" s="96" t="str">
        <f>VLOOKUP(A125,BountyData!$A:$K,$H$1+8,FALSE)</f>
        <v>达尔格绿洲</v>
      </c>
      <c r="F125" s="659" t="str">
        <f>VLOOKUP(A125,BountyData!$A:$K,2,FALSE)</f>
        <v>是</v>
      </c>
    </row>
    <row r="126" spans="1:6">
      <c r="A126" s="614" t="s">
        <v>4962</v>
      </c>
      <c r="B126" s="653" t="str">
        <f>VLOOKUP(A126,BountyData!$A:$K,3,FALSE)</f>
        <v>消灭紫怪</v>
      </c>
      <c r="C126" s="654" t="str">
        <f>VLOOKUP(A126,BountyData!$A:$K,$H$1+3,FALSE)</f>
        <v>悬赏任务：消灭格莱西恩</v>
      </c>
      <c r="D126" s="594" t="str">
        <f>VLOOKUP(A126,BountyData!$A:$K,8,FALSE)</f>
        <v>A2</v>
      </c>
      <c r="E126" s="96" t="str">
        <f>VLOOKUP(A126,BountyData!$A:$K,$H$1+8,FALSE)</f>
        <v>达尔格绿洲</v>
      </c>
      <c r="F126" s="659" t="str">
        <f>VLOOKUP(A126,BountyData!$A:$K,2,FALSE)</f>
        <v>是</v>
      </c>
    </row>
    <row r="127" spans="1:6">
      <c r="A127" s="614" t="s">
        <v>4964</v>
      </c>
      <c r="B127" s="653" t="str">
        <f>VLOOKUP(A127,BountyData!$A:$K,3,FALSE)</f>
        <v>消灭紫怪</v>
      </c>
      <c r="C127" s="654" t="str">
        <f>VLOOKUP(A127,BountyData!$A:$K,$H$1+3,FALSE)</f>
        <v>悬赏任务：消灭蛇人卡胡尔</v>
      </c>
      <c r="D127" s="594" t="str">
        <f>VLOOKUP(A127,BountyData!$A:$K,8,FALSE)</f>
        <v>A2</v>
      </c>
      <c r="E127" s="96" t="str">
        <f>VLOOKUP(A127,BountyData!$A:$K,$H$1+8,FALSE)</f>
        <v>达尔格绿洲</v>
      </c>
      <c r="F127" s="659" t="str">
        <f>VLOOKUP(A127,BountyData!$A:$K,2,FALSE)</f>
        <v>是</v>
      </c>
    </row>
    <row r="128" spans="1:6">
      <c r="A128" s="614" t="s">
        <v>4395</v>
      </c>
      <c r="B128" s="653" t="str">
        <f>VLOOKUP(A128,BountyData!$A:$K,3,FALSE)</f>
        <v>消灭紫怪</v>
      </c>
      <c r="C128" s="654" t="str">
        <f>VLOOKUP(A128,BountyData!$A:$K,$H$1+3,FALSE)</f>
        <v>悬赏任务：消灭血痕利爪</v>
      </c>
      <c r="D128" s="594" t="str">
        <f>VLOOKUP(A128,BountyData!$A:$K,8,FALSE)</f>
        <v>A2</v>
      </c>
      <c r="E128" s="96" t="str">
        <f>VLOOKUP(A128,BountyData!$A:$K,$H$1+8,FALSE)</f>
        <v>达尔格绿洲</v>
      </c>
      <c r="F128" s="659" t="str">
        <f>VLOOKUP(A128,BountyData!$A:$K,2,FALSE)</f>
        <v>是</v>
      </c>
    </row>
    <row r="129" spans="1:6">
      <c r="A129" s="614" t="s">
        <v>6446</v>
      </c>
      <c r="B129" s="653" t="str">
        <f>VLOOKUP(A129,BountyData!$A:$K,3,FALSE)</f>
        <v>消灭紫怪</v>
      </c>
      <c r="C129" s="654" t="str">
        <f>VLOOKUP(A129,BountyData!$A:$K,$H$1+3,FALSE)</f>
        <v>悬赏任务：消灭索卡尔·钥匙守护者</v>
      </c>
      <c r="D129" s="594" t="str">
        <f>VLOOKUP(A129,BountyData!$A:$K,8,FALSE)</f>
        <v>A2</v>
      </c>
      <c r="E129" s="96" t="str">
        <f>VLOOKUP(A129,BountyData!$A:$K,$H$1+8,FALSE)</f>
        <v>达尔格绿洲</v>
      </c>
      <c r="F129" s="602" t="str">
        <f>VLOOKUP(A129,BountyData!$A:$K,2,FALSE)</f>
        <v>2.4尚未启用</v>
      </c>
    </row>
    <row r="130" spans="1:6">
      <c r="A130" s="614" t="s">
        <v>4558</v>
      </c>
      <c r="B130" s="653" t="str">
        <f>VLOOKUP(A130,BountyData!$A:$K,3,FALSE)</f>
        <v>消灭紫怪</v>
      </c>
      <c r="C130" s="654" t="str">
        <f>VLOOKUP(A130,BountyData!$A:$K,$H$1+3,FALSE)</f>
        <v>悬赏任务：消灭托沙尔</v>
      </c>
      <c r="D130" s="594" t="str">
        <f>VLOOKUP(A130,BountyData!$A:$K,8,FALSE)</f>
        <v>A2</v>
      </c>
      <c r="E130" s="96" t="str">
        <f>VLOOKUP(A130,BountyData!$A:$K,$H$1+8,FALSE)</f>
        <v>达尔格绿洲</v>
      </c>
      <c r="F130" s="659" t="str">
        <f>VLOOKUP(A130,BountyData!$A:$K,2,FALSE)</f>
        <v>是</v>
      </c>
    </row>
    <row r="131" spans="1:6">
      <c r="A131" s="614" t="s">
        <v>4966</v>
      </c>
      <c r="B131" s="653" t="str">
        <f>VLOOKUP(A131,BountyData!$A:$K,3,FALSE)</f>
        <v>消灭紫怪</v>
      </c>
      <c r="C131" s="654" t="str">
        <f>VLOOKUP(A131,BountyData!$A:$K,$H$1+3,FALSE)</f>
        <v>悬赏任务：消灭穿刺者崔迪乌恩</v>
      </c>
      <c r="D131" s="594" t="str">
        <f>VLOOKUP(A131,BountyData!$A:$K,8,FALSE)</f>
        <v>A2</v>
      </c>
      <c r="E131" s="96" t="str">
        <f>VLOOKUP(A131,BountyData!$A:$K,$H$1+8,FALSE)</f>
        <v>达尔格绿洲</v>
      </c>
      <c r="F131" s="659" t="str">
        <f>VLOOKUP(A131,BountyData!$A:$K,2,FALSE)</f>
        <v>是</v>
      </c>
    </row>
    <row r="132" spans="1:6">
      <c r="A132" s="614" t="s">
        <v>4704</v>
      </c>
      <c r="B132" s="590" t="str">
        <f>VLOOKUP(A132,BountyData!$A:$K,3,FALSE)</f>
        <v>消灭首领</v>
      </c>
      <c r="C132" s="601" t="str">
        <f>VLOOKUP(A132,BountyData!$A:$K,$H$1+3,FALSE)</f>
        <v>悬赏任务：消灭彼列</v>
      </c>
      <c r="D132" s="594" t="str">
        <f>VLOOKUP(A132,BountyData!$A:$K,8,FALSE)</f>
        <v>A2</v>
      </c>
      <c r="E132" s="96" t="str">
        <f>VLOOKUP(A132,BountyData!$A:$K,$H$1+8,FALSE)</f>
        <v>卡尔蒂姆城</v>
      </c>
      <c r="F132" s="659" t="str">
        <f>VLOOKUP(A132,BountyData!$A:$K,2,FALSE)</f>
        <v>是</v>
      </c>
    </row>
    <row r="133" spans="1:6">
      <c r="A133" s="614" t="s">
        <v>4667</v>
      </c>
      <c r="B133" s="588" t="str">
        <f>VLOOKUP(A133,BountyData!$A:$K,3,FALSE)</f>
        <v>怪物全清</v>
      </c>
      <c r="C133" s="599" t="str">
        <f>VLOOKUP(A133,BountyData!$A:$K,$H$1+3,FALSE)</f>
        <v>悬赏任务：清理废墟</v>
      </c>
      <c r="D133" s="594" t="str">
        <f>VLOOKUP(A133,BountyData!$A:$K,8,FALSE)</f>
        <v>A2</v>
      </c>
      <c r="E133" s="96" t="str">
        <f>VLOOKUP(A133,BountyData!$A:$K,$H$1+8,FALSE)</f>
        <v>烈风之地</v>
      </c>
      <c r="F133" s="659" t="str">
        <f>VLOOKUP(A133,BountyData!$A:$K,2,FALSE)</f>
        <v>是</v>
      </c>
    </row>
    <row r="134" spans="1:6">
      <c r="A134" s="614" t="s">
        <v>5095</v>
      </c>
      <c r="B134" s="589" t="str">
        <f>VLOOKUP(A134,BountyData!$A:$K,3,FALSE)</f>
        <v>扫荡野营</v>
      </c>
      <c r="C134" s="600" t="str">
        <f>VLOOKUP(A134,BountyData!$A:$K,$H$1+3,FALSE)</f>
        <v>悬赏任务：邪教的囚徒</v>
      </c>
      <c r="D134" s="594" t="str">
        <f>VLOOKUP(A134,BountyData!$A:$K,8,FALSE)</f>
        <v>A2</v>
      </c>
      <c r="E134" s="96" t="str">
        <f>VLOOKUP(A134,BountyData!$A:$K,$H$1+8,FALSE)</f>
        <v>烈风之地</v>
      </c>
      <c r="F134" s="659" t="str">
        <f>VLOOKUP(A134,BountyData!$A:$K,2,FALSE)</f>
        <v>是</v>
      </c>
    </row>
    <row r="135" spans="1:6">
      <c r="A135" s="614" t="s">
        <v>4669</v>
      </c>
      <c r="B135" s="651" t="str">
        <f>VLOOKUP(A135,BountyData!$A:$K,3,FALSE)</f>
        <v>完成事件</v>
      </c>
      <c r="C135" s="652" t="str">
        <f>VLOOKUP(A135,BountyData!$A:$K,$H$1+3,FALSE)</f>
        <v>悬赏任务：崩裂密室</v>
      </c>
      <c r="D135" s="594" t="str">
        <f>VLOOKUP(A135,BountyData!$A:$K,8,FALSE)</f>
        <v>A2</v>
      </c>
      <c r="E135" s="96" t="str">
        <f>VLOOKUP(A135,BountyData!$A:$K,$H$1+8,FALSE)</f>
        <v>烈风之地</v>
      </c>
      <c r="F135" s="659" t="str">
        <f>VLOOKUP(A135,BountyData!$A:$K,2,FALSE)</f>
        <v>是</v>
      </c>
    </row>
    <row r="136" spans="1:6">
      <c r="A136" s="614" t="s">
        <v>4671</v>
      </c>
      <c r="B136" s="651" t="str">
        <f>VLOOKUP(A136,BountyData!$A:$K,3,FALSE)</f>
        <v>完成事件</v>
      </c>
      <c r="C136" s="652" t="str">
        <f>VLOOKUP(A136,BountyData!$A:$K,$H$1+3,FALSE)</f>
        <v>悬赏任务：守护者之魂</v>
      </c>
      <c r="D136" s="594" t="str">
        <f>VLOOKUP(A136,BountyData!$A:$K,8,FALSE)</f>
        <v>A2</v>
      </c>
      <c r="E136" s="96" t="str">
        <f>VLOOKUP(A136,BountyData!$A:$K,$H$1+8,FALSE)</f>
        <v>烈风之地</v>
      </c>
      <c r="F136" s="659" t="str">
        <f>VLOOKUP(A136,BountyData!$A:$K,2,FALSE)</f>
        <v>是</v>
      </c>
    </row>
    <row r="137" spans="1:6">
      <c r="A137" s="614" t="s">
        <v>4673</v>
      </c>
      <c r="B137" s="651" t="str">
        <f>VLOOKUP(A137,BountyData!$A:$K,3,FALSE)</f>
        <v>完成事件</v>
      </c>
      <c r="C137" s="652" t="str">
        <f>VLOOKUP(A137,BountyData!$A:$K,$H$1+3,FALSE)</f>
        <v>悬赏任务：躁怒沙漠</v>
      </c>
      <c r="D137" s="594" t="str">
        <f>VLOOKUP(A137,BountyData!$A:$K,8,FALSE)</f>
        <v>A2</v>
      </c>
      <c r="E137" s="96" t="str">
        <f>VLOOKUP(A137,BountyData!$A:$K,$H$1+8,FALSE)</f>
        <v>烈风之地</v>
      </c>
      <c r="F137" s="659" t="str">
        <f>VLOOKUP(A137,BountyData!$A:$K,2,FALSE)</f>
        <v>是</v>
      </c>
    </row>
    <row r="138" spans="1:6">
      <c r="A138" s="614" t="s">
        <v>4675</v>
      </c>
      <c r="B138" s="651" t="str">
        <f>VLOOKUP(A138,BountyData!$A:$K,3,FALSE)</f>
        <v>完成事件</v>
      </c>
      <c r="C138" s="652" t="str">
        <f>VLOOKUP(A138,BountyData!$A:$K,$H$1+3,FALSE)</f>
        <v>悬赏任务：雷格纳人偶</v>
      </c>
      <c r="D138" s="594" t="str">
        <f>VLOOKUP(A138,BountyData!$A:$K,8,FALSE)</f>
        <v>A2</v>
      </c>
      <c r="E138" s="96" t="str">
        <f>VLOOKUP(A138,BountyData!$A:$K,$H$1+8,FALSE)</f>
        <v>烈风之地</v>
      </c>
      <c r="F138" s="659" t="str">
        <f>VLOOKUP(A138,BountyData!$A:$K,2,FALSE)</f>
        <v>是</v>
      </c>
    </row>
    <row r="139" spans="1:6">
      <c r="A139" s="614" t="s">
        <v>4956</v>
      </c>
      <c r="B139" s="653" t="str">
        <f>VLOOKUP(A139,BountyData!$A:$K,3,FALSE)</f>
        <v>消灭紫怪</v>
      </c>
      <c r="C139" s="654" t="str">
        <f>VLOOKUP(A139,BountyData!$A:$K,$H$1+3,FALSE)</f>
        <v>悬赏任务：消灭巴尔扎克</v>
      </c>
      <c r="D139" s="594" t="str">
        <f>VLOOKUP(A139,BountyData!$A:$K,8,FALSE)</f>
        <v>A2</v>
      </c>
      <c r="E139" s="96" t="str">
        <f>VLOOKUP(A139,BountyData!$A:$K,$H$1+8,FALSE)</f>
        <v>烈风之地</v>
      </c>
      <c r="F139" s="659" t="str">
        <f>VLOOKUP(A139,BountyData!$A:$K,2,FALSE)</f>
        <v>是</v>
      </c>
    </row>
    <row r="140" spans="1:6">
      <c r="A140" s="614" t="s">
        <v>4960</v>
      </c>
      <c r="B140" s="653" t="str">
        <f>VLOOKUP(A140,BountyData!$A:$K,3,FALSE)</f>
        <v>消灭紫怪</v>
      </c>
      <c r="C140" s="654" t="str">
        <f>VLOOKUP(A140,BountyData!$A:$K,$H$1+3,FALSE)</f>
        <v>悬赏任务：消灭矮子巴提</v>
      </c>
      <c r="D140" s="594" t="str">
        <f>VLOOKUP(A140,BountyData!$A:$K,8,FALSE)</f>
        <v>A2</v>
      </c>
      <c r="E140" s="96" t="str">
        <f>VLOOKUP(A140,BountyData!$A:$K,$H$1+8,FALSE)</f>
        <v>烈风之地</v>
      </c>
      <c r="F140" s="659" t="str">
        <f>VLOOKUP(A140,BountyData!$A:$K,2,FALSE)</f>
        <v>是</v>
      </c>
    </row>
    <row r="141" spans="1:6">
      <c r="A141" s="614" t="s">
        <v>4680</v>
      </c>
      <c r="B141" s="653" t="str">
        <f>VLOOKUP(A141,BountyData!$A:$K,3,FALSE)</f>
        <v>消灭紫怪</v>
      </c>
      <c r="C141" s="654" t="str">
        <f>VLOOKUP(A141,BountyData!$A:$K,$H$1+3,FALSE)</f>
        <v>悬赏任务：消灭拷问者哈马斯</v>
      </c>
      <c r="D141" s="594" t="str">
        <f>VLOOKUP(A141,BountyData!$A:$K,8,FALSE)</f>
        <v>A2</v>
      </c>
      <c r="E141" s="96" t="str">
        <f>VLOOKUP(A141,BountyData!$A:$K,$H$1+8,FALSE)</f>
        <v>烈风之地</v>
      </c>
      <c r="F141" s="659" t="str">
        <f>VLOOKUP(A141,BountyData!$A:$K,2,FALSE)</f>
        <v>是</v>
      </c>
    </row>
    <row r="142" spans="1:6">
      <c r="A142" s="614" t="s">
        <v>4958</v>
      </c>
      <c r="B142" s="653" t="str">
        <f>VLOOKUP(A142,BountyData!$A:$K,3,FALSE)</f>
        <v>消灭紫怪</v>
      </c>
      <c r="C142" s="654" t="str">
        <f>VLOOKUP(A142,BountyData!$A:$K,$H$1+3,FALSE)</f>
        <v>悬赏任务：消灭萨马拉斯·追逐者</v>
      </c>
      <c r="D142" s="594" t="str">
        <f>VLOOKUP(A142,BountyData!$A:$K,8,FALSE)</f>
        <v>A2</v>
      </c>
      <c r="E142" s="96" t="str">
        <f>VLOOKUP(A142,BountyData!$A:$K,$H$1+8,FALSE)</f>
        <v>烈风之地</v>
      </c>
      <c r="F142" s="659" t="str">
        <f>VLOOKUP(A142,BountyData!$A:$K,2,FALSE)</f>
        <v>是</v>
      </c>
    </row>
    <row r="143" spans="1:6">
      <c r="A143" s="614" t="s">
        <v>4534</v>
      </c>
      <c r="B143" s="588" t="str">
        <f>VLOOKUP(A143,BountyData!$A:$K,3,FALSE)</f>
        <v>怪物全清</v>
      </c>
      <c r="C143" s="599" t="str">
        <f>VLOOKUP(A143,BountyData!$A:$K,$H$1+3,FALSE)</f>
        <v>悬赏任务：清理热风洞窟</v>
      </c>
      <c r="D143" s="594" t="str">
        <f>VLOOKUP(A143,BountyData!$A:$K,8,FALSE)</f>
        <v>A2</v>
      </c>
      <c r="E143" s="96" t="str">
        <f>VLOOKUP(A143,BountyData!$A:$K,$H$1+8,FALSE)</f>
        <v>凄风苔原</v>
      </c>
      <c r="F143" s="659" t="str">
        <f>VLOOKUP(A143,BountyData!$A:$K,2,FALSE)</f>
        <v>是</v>
      </c>
    </row>
    <row r="144" spans="1:6">
      <c r="A144" s="614" t="s">
        <v>4995</v>
      </c>
      <c r="B144" s="651" t="str">
        <f>VLOOKUP(A144,BountyData!$A:$K,3,FALSE)</f>
        <v>完成事件</v>
      </c>
      <c r="C144" s="652" t="str">
        <f>VLOOKUP(A144,BountyData!$A:$K,$H$1+3,FALSE)</f>
        <v>悬赏任务：诅咒岗哨</v>
      </c>
      <c r="D144" s="594" t="str">
        <f>VLOOKUP(A144,BountyData!$A:$K,8,FALSE)</f>
        <v>A2</v>
      </c>
      <c r="E144" s="96" t="str">
        <f>VLOOKUP(A144,BountyData!$A:$K,$H$1+8,FALSE)</f>
        <v>凄风苔原</v>
      </c>
      <c r="F144" s="659" t="str">
        <f>VLOOKUP(A144,BountyData!$A:$K,2,FALSE)</f>
        <v>是</v>
      </c>
    </row>
    <row r="145" spans="1:6">
      <c r="A145" s="614" t="s">
        <v>4993</v>
      </c>
      <c r="B145" s="651" t="str">
        <f>VLOOKUP(A145,BountyData!$A:$K,3,FALSE)</f>
        <v>完成事件</v>
      </c>
      <c r="C145" s="652" t="str">
        <f>VLOOKUP(A145,BountyData!$A:$K,$H$1+3,FALSE)</f>
        <v>悬赏任务：诅咒城垛</v>
      </c>
      <c r="D145" s="594" t="str">
        <f>VLOOKUP(A145,BountyData!$A:$K,8,FALSE)</f>
        <v>A2</v>
      </c>
      <c r="E145" s="96" t="str">
        <f>VLOOKUP(A145,BountyData!$A:$K,$H$1+8,FALSE)</f>
        <v>凄风苔原</v>
      </c>
      <c r="F145" s="659" t="str">
        <f>VLOOKUP(A145,BountyData!$A:$K,2,FALSE)</f>
        <v>是</v>
      </c>
    </row>
    <row r="146" spans="1:6">
      <c r="A146" s="614" t="s">
        <v>4373</v>
      </c>
      <c r="B146" s="651" t="str">
        <f>VLOOKUP(A146,BountyData!$A:$K,3,FALSE)</f>
        <v>完成事件</v>
      </c>
      <c r="C146" s="652" t="str">
        <f>VLOOKUP(A146,BountyData!$A:$K,$H$1+3,FALSE)</f>
        <v>悬赏任务：矿工的黄金</v>
      </c>
      <c r="D146" s="594" t="str">
        <f>VLOOKUP(A146,BountyData!$A:$K,8,FALSE)</f>
        <v>A2</v>
      </c>
      <c r="E146" s="96" t="str">
        <f>VLOOKUP(A146,BountyData!$A:$K,$H$1+8,FALSE)</f>
        <v>凄风苔原</v>
      </c>
      <c r="F146" s="659" t="str">
        <f>VLOOKUP(A146,BountyData!$A:$K,2,FALSE)</f>
        <v>是</v>
      </c>
    </row>
    <row r="147" spans="1:6">
      <c r="A147" s="614" t="s">
        <v>4532</v>
      </c>
      <c r="B147" s="651" t="str">
        <f>VLOOKUP(A147,BountyData!$A:$K,3,FALSE)</f>
        <v>完成事件</v>
      </c>
      <c r="C147" s="652" t="str">
        <f>VLOOKUP(A147,BountyData!$A:$K,$H$1+3,FALSE)</f>
        <v>悬赏任务：豹人巢穴</v>
      </c>
      <c r="D147" s="594" t="str">
        <f>VLOOKUP(A147,BountyData!$A:$K,8,FALSE)</f>
        <v>A2</v>
      </c>
      <c r="E147" s="96" t="str">
        <f>VLOOKUP(A147,BountyData!$A:$K,$H$1+8,FALSE)</f>
        <v>凄风苔原</v>
      </c>
      <c r="F147" s="659" t="str">
        <f>VLOOKUP(A147,BountyData!$A:$K,2,FALSE)</f>
        <v>是</v>
      </c>
    </row>
    <row r="148" spans="1:6">
      <c r="A148" s="614" t="s">
        <v>4381</v>
      </c>
      <c r="B148" s="653" t="str">
        <f>VLOOKUP(A148,BountyData!$A:$K,3,FALSE)</f>
        <v>消灭紫怪</v>
      </c>
      <c r="C148" s="654" t="str">
        <f>VLOOKUP(A148,BountyData!$A:$K,$H$1+3,FALSE)</f>
        <v>悬赏任务：消灭阿什克</v>
      </c>
      <c r="D148" s="594" t="str">
        <f>VLOOKUP(A148,BountyData!$A:$K,8,FALSE)</f>
        <v>A2</v>
      </c>
      <c r="E148" s="96" t="str">
        <f>VLOOKUP(A148,BountyData!$A:$K,$H$1+8,FALSE)</f>
        <v>凄风苔原</v>
      </c>
      <c r="F148" s="659" t="str">
        <f>VLOOKUP(A148,BountyData!$A:$K,2,FALSE)</f>
        <v>是</v>
      </c>
    </row>
    <row r="149" spans="1:6">
      <c r="A149" s="614" t="s">
        <v>4536</v>
      </c>
      <c r="B149" s="653" t="str">
        <f>VLOOKUP(A149,BountyData!$A:$K,3,FALSE)</f>
        <v>消灭紫怪</v>
      </c>
      <c r="C149" s="654" t="str">
        <f>VLOOKUP(A149,BountyData!$A:$K,$H$1+3,FALSE)</f>
        <v>悬赏任务：消灭疯子加特</v>
      </c>
      <c r="D149" s="594" t="str">
        <f>VLOOKUP(A149,BountyData!$A:$K,8,FALSE)</f>
        <v>A2</v>
      </c>
      <c r="E149" s="96" t="str">
        <f>VLOOKUP(A149,BountyData!$A:$K,$H$1+8,FALSE)</f>
        <v>凄风苔原</v>
      </c>
      <c r="F149" s="659" t="str">
        <f>VLOOKUP(A149,BountyData!$A:$K,2,FALSE)</f>
        <v>是</v>
      </c>
    </row>
    <row r="150" spans="1:6">
      <c r="A150" s="614" t="s">
        <v>4538</v>
      </c>
      <c r="B150" s="653" t="str">
        <f>VLOOKUP(A150,BountyData!$A:$K,3,FALSE)</f>
        <v>消灭紫怪</v>
      </c>
      <c r="C150" s="654" t="str">
        <f>VLOOKUP(A150,BountyData!$A:$K,$H$1+3,FALSE)</f>
        <v>悬赏任务：消灭恐惧的赫米特</v>
      </c>
      <c r="D150" s="594" t="str">
        <f>VLOOKUP(A150,BountyData!$A:$K,8,FALSE)</f>
        <v>A2</v>
      </c>
      <c r="E150" s="96" t="str">
        <f>VLOOKUP(A150,BountyData!$A:$K,$H$1+8,FALSE)</f>
        <v>凄风苔原</v>
      </c>
      <c r="F150" s="659" t="str">
        <f>VLOOKUP(A150,BountyData!$A:$K,2,FALSE)</f>
        <v>是</v>
      </c>
    </row>
    <row r="151" spans="1:6">
      <c r="A151" s="614" t="s">
        <v>4379</v>
      </c>
      <c r="B151" s="653" t="str">
        <f>VLOOKUP(A151,BountyData!$A:$K,3,FALSE)</f>
        <v>消灭紫怪</v>
      </c>
      <c r="C151" s="654" t="str">
        <f>VLOOKUP(A151,BountyData!$A:$K,$H$1+3,FALSE)</f>
        <v>悬赏任务：消灭利刃巨口</v>
      </c>
      <c r="D151" s="594" t="str">
        <f>VLOOKUP(A151,BountyData!$A:$K,8,FALSE)</f>
        <v>A2</v>
      </c>
      <c r="E151" s="96" t="str">
        <f>VLOOKUP(A151,BountyData!$A:$K,$H$1+8,FALSE)</f>
        <v>凄风苔原</v>
      </c>
      <c r="F151" s="659" t="str">
        <f>VLOOKUP(A151,BountyData!$A:$K,2,FALSE)</f>
        <v>是</v>
      </c>
    </row>
    <row r="152" spans="1:6">
      <c r="A152" s="614" t="s">
        <v>4375</v>
      </c>
      <c r="B152" s="653" t="str">
        <f>VLOOKUP(A152,BountyData!$A:$K,3,FALSE)</f>
        <v>消灭紫怪</v>
      </c>
      <c r="C152" s="654" t="str">
        <f>VLOOKUP(A152,BountyData!$A:$K,$H$1+3,FALSE)</f>
        <v>悬赏任务：消灭萨哈·鞭笞者</v>
      </c>
      <c r="D152" s="594" t="str">
        <f>VLOOKUP(A152,BountyData!$A:$K,8,FALSE)</f>
        <v>A2</v>
      </c>
      <c r="E152" s="96" t="str">
        <f>VLOOKUP(A152,BountyData!$A:$K,$H$1+8,FALSE)</f>
        <v>凄风苔原</v>
      </c>
      <c r="F152" s="659" t="str">
        <f>VLOOKUP(A152,BountyData!$A:$K,2,FALSE)</f>
        <v>是</v>
      </c>
    </row>
    <row r="153" spans="1:6">
      <c r="A153" s="614" t="s">
        <v>4377</v>
      </c>
      <c r="B153" s="653" t="str">
        <f>VLOOKUP(A153,BountyData!$A:$K,3,FALSE)</f>
        <v>消灭紫怪</v>
      </c>
      <c r="C153" s="654" t="str">
        <f>VLOOKUP(A153,BountyData!$A:$K,$H$1+3,FALSE)</f>
        <v>悬赏任务：消灭狂野的塔洛斯</v>
      </c>
      <c r="D153" s="594" t="str">
        <f>VLOOKUP(A153,BountyData!$A:$K,8,FALSE)</f>
        <v>A2</v>
      </c>
      <c r="E153" s="96" t="str">
        <f>VLOOKUP(A153,BountyData!$A:$K,$H$1+8,FALSE)</f>
        <v>凄风苔原</v>
      </c>
      <c r="F153" s="659" t="str">
        <f>VLOOKUP(A153,BountyData!$A:$K,2,FALSE)</f>
        <v>是</v>
      </c>
    </row>
    <row r="154" spans="1:6">
      <c r="A154" s="614" t="s">
        <v>4399</v>
      </c>
      <c r="B154" s="588" t="str">
        <f>VLOOKUP(A154,BountyData!$A:$K,3,FALSE)</f>
        <v>怪物全清</v>
      </c>
      <c r="C154" s="599" t="str">
        <f>VLOOKUP(A154,BountyData!$A:$K,$H$1+3,FALSE)</f>
        <v>悬赏任务：清理掘地骇物的洞穴</v>
      </c>
      <c r="D154" s="594" t="str">
        <f>VLOOKUP(A154,BountyData!$A:$K,8,FALSE)</f>
        <v>A2</v>
      </c>
      <c r="E154" s="96" t="str">
        <f>VLOOKUP(A154,BountyData!$A:$K,$H$1+8,FALSE)</f>
        <v>凄凉沙漠</v>
      </c>
      <c r="F154" s="659" t="str">
        <f>VLOOKUP(A154,BountyData!$A:$K,2,FALSE)</f>
        <v>是</v>
      </c>
    </row>
    <row r="155" spans="1:6">
      <c r="A155" s="614" t="s">
        <v>4397</v>
      </c>
      <c r="B155" s="588" t="str">
        <f>VLOOKUP(A155,BountyData!$A:$K,3,FALSE)</f>
        <v>怪物全清</v>
      </c>
      <c r="C155" s="599" t="str">
        <f>VLOOKUP(A155,BountyData!$A:$K,$H$1+3,FALSE)</f>
        <v>悬赏任务：清理邪恶洞窟</v>
      </c>
      <c r="D155" s="594" t="str">
        <f>VLOOKUP(A155,BountyData!$A:$K,8,FALSE)</f>
        <v>A2</v>
      </c>
      <c r="E155" s="96" t="str">
        <f>VLOOKUP(A155,BountyData!$A:$K,$H$1+8,FALSE)</f>
        <v>凄凉沙漠</v>
      </c>
      <c r="F155" s="659" t="str">
        <f>VLOOKUP(A155,BountyData!$A:$K,2,FALSE)</f>
        <v>是</v>
      </c>
    </row>
    <row r="156" spans="1:6">
      <c r="A156" s="614" t="s">
        <v>5093</v>
      </c>
      <c r="B156" s="589" t="str">
        <f>VLOOKUP(A156,BountyData!$A:$K,3,FALSE)</f>
        <v>扫荡野营</v>
      </c>
      <c r="C156" s="600" t="str">
        <f>VLOOKUP(A156,BountyData!$A:$K,$H$1+3,FALSE)</f>
        <v>悬赏任务：古老装置</v>
      </c>
      <c r="D156" s="594" t="str">
        <f>VLOOKUP(A156,BountyData!$A:$K,8,FALSE)</f>
        <v>A2</v>
      </c>
      <c r="E156" s="96" t="str">
        <f>VLOOKUP(A156,BountyData!$A:$K,$H$1+8,FALSE)</f>
        <v>凄凉沙漠</v>
      </c>
      <c r="F156" s="659" t="str">
        <f>VLOOKUP(A156,BountyData!$A:$K,2,FALSE)</f>
        <v>是</v>
      </c>
    </row>
    <row r="157" spans="1:6">
      <c r="A157" s="614" t="s">
        <v>5029</v>
      </c>
      <c r="B157" s="651" t="str">
        <f>VLOOKUP(A157,BountyData!$A:$K,3,FALSE)</f>
        <v>完成事件</v>
      </c>
      <c r="C157" s="652" t="str">
        <f>VLOOKUP(A157,BountyData!$A:$K,$H$1+3,FALSE)</f>
        <v>悬赏任务：诅咒图书馆</v>
      </c>
      <c r="D157" s="594" t="str">
        <f>VLOOKUP(A157,BountyData!$A:$K,8,FALSE)</f>
        <v>A2</v>
      </c>
      <c r="E157" s="96" t="str">
        <f>VLOOKUP(A157,BountyData!$A:$K,$H$1+8,FALSE)</f>
        <v>凄凉沙漠</v>
      </c>
      <c r="F157" s="659" t="str">
        <f>VLOOKUP(A157,BountyData!$A:$K,2,FALSE)</f>
        <v>是</v>
      </c>
    </row>
    <row r="158" spans="1:6">
      <c r="A158" s="614" t="s">
        <v>4403</v>
      </c>
      <c r="B158" s="653" t="str">
        <f>VLOOKUP(A158,BountyData!$A:$K,3,FALSE)</f>
        <v>消灭紫怪</v>
      </c>
      <c r="C158" s="654" t="str">
        <f>VLOOKUP(A158,BountyData!$A:$K,$H$1+3,FALSE)</f>
        <v>悬赏任务：消灭顽魔布拉戈</v>
      </c>
      <c r="D158" s="594" t="str">
        <f>VLOOKUP(A158,BountyData!$A:$K,8,FALSE)</f>
        <v>A2</v>
      </c>
      <c r="E158" s="96" t="str">
        <f>VLOOKUP(A158,BountyData!$A:$K,$H$1+8,FALSE)</f>
        <v>凄凉沙漠</v>
      </c>
      <c r="F158" s="659" t="str">
        <f>VLOOKUP(A158,BountyData!$A:$K,2,FALSE)</f>
        <v>是</v>
      </c>
    </row>
    <row r="159" spans="1:6">
      <c r="A159" s="614" t="s">
        <v>4405</v>
      </c>
      <c r="B159" s="653" t="str">
        <f>VLOOKUP(A159,BountyData!$A:$K,3,FALSE)</f>
        <v>消灭紫怪</v>
      </c>
      <c r="C159" s="654" t="str">
        <f>VLOOKUP(A159,BountyData!$A:$K,$H$1+3,FALSE)</f>
        <v>悬赏任务：消灭血羽</v>
      </c>
      <c r="D159" s="594" t="str">
        <f>VLOOKUP(A159,BountyData!$A:$K,8,FALSE)</f>
        <v>A2</v>
      </c>
      <c r="E159" s="96" t="str">
        <f>VLOOKUP(A159,BountyData!$A:$K,$H$1+8,FALSE)</f>
        <v>凄凉沙漠</v>
      </c>
      <c r="F159" s="659" t="str">
        <f>VLOOKUP(A159,BountyData!$A:$K,2,FALSE)</f>
        <v>是</v>
      </c>
    </row>
    <row r="160" spans="1:6">
      <c r="A160" s="614" t="s">
        <v>4677</v>
      </c>
      <c r="B160" s="653" t="str">
        <f>VLOOKUP(A160,BountyData!$A:$K,3,FALSE)</f>
        <v>消灭紫怪</v>
      </c>
      <c r="C160" s="654" t="str">
        <f>VLOOKUP(A160,BountyData!$A:$K,$H$1+3,FALSE)</f>
        <v>悬赏任务：消灭法圣密斯根</v>
      </c>
      <c r="D160" s="594" t="str">
        <f>VLOOKUP(A160,BountyData!$A:$K,8,FALSE)</f>
        <v>A2</v>
      </c>
      <c r="E160" s="96" t="str">
        <f>VLOOKUP(A160,BountyData!$A:$K,$H$1+8,FALSE)</f>
        <v>凄凉沙漠</v>
      </c>
      <c r="F160" s="659" t="str">
        <f>VLOOKUP(A160,BountyData!$A:$K,2,FALSE)</f>
        <v>是</v>
      </c>
    </row>
    <row r="161" spans="1:6">
      <c r="A161" s="614" t="s">
        <v>4562</v>
      </c>
      <c r="B161" s="653" t="str">
        <f>VLOOKUP(A161,BountyData!$A:$K,3,FALSE)</f>
        <v>消灭紫怪</v>
      </c>
      <c r="C161" s="654" t="str">
        <f>VLOOKUP(A161,BountyData!$A:$K,$H$1+3,FALSE)</f>
        <v>悬赏任务：消灭九蟾恶尸</v>
      </c>
      <c r="D161" s="594" t="str">
        <f>VLOOKUP(A161,BountyData!$A:$K,8,FALSE)</f>
        <v>A2</v>
      </c>
      <c r="E161" s="96" t="str">
        <f>VLOOKUP(A161,BountyData!$A:$K,$H$1+8,FALSE)</f>
        <v>凄凉沙漠</v>
      </c>
      <c r="F161" s="659" t="str">
        <f>VLOOKUP(A161,BountyData!$A:$K,2,FALSE)</f>
        <v>是</v>
      </c>
    </row>
    <row r="162" spans="1:6">
      <c r="A162" s="614" t="s">
        <v>4564</v>
      </c>
      <c r="B162" s="653" t="str">
        <f>VLOOKUP(A162,BountyData!$A:$K,3,FALSE)</f>
        <v>消灭紫怪</v>
      </c>
      <c r="C162" s="654" t="str">
        <f>VLOOKUP(A162,BountyData!$A:$K,$H$1+3,FALSE)</f>
        <v>悬赏任务：消灭帕祖祖</v>
      </c>
      <c r="D162" s="594" t="str">
        <f>VLOOKUP(A162,BountyData!$A:$K,8,FALSE)</f>
        <v>A2</v>
      </c>
      <c r="E162" s="96" t="str">
        <f>VLOOKUP(A162,BountyData!$A:$K,$H$1+8,FALSE)</f>
        <v>凄凉沙漠</v>
      </c>
      <c r="F162" s="659" t="str">
        <f>VLOOKUP(A162,BountyData!$A:$K,2,FALSE)</f>
        <v>是</v>
      </c>
    </row>
    <row r="163" spans="1:6">
      <c r="A163" s="614" t="s">
        <v>4560</v>
      </c>
      <c r="B163" s="653" t="str">
        <f>VLOOKUP(A163,BountyData!$A:$K,3,FALSE)</f>
        <v>消灭紫怪</v>
      </c>
      <c r="C163" s="654" t="str">
        <f>VLOOKUP(A163,BountyData!$A:$K,$H$1+3,FALSE)</f>
        <v>悬赏任务：消灭遭天谴的普拉加</v>
      </c>
      <c r="D163" s="594" t="str">
        <f>VLOOKUP(A163,BountyData!$A:$K,8,FALSE)</f>
        <v>A2</v>
      </c>
      <c r="E163" s="96" t="str">
        <f>VLOOKUP(A163,BountyData!$A:$K,$H$1+8,FALSE)</f>
        <v>凄凉沙漠</v>
      </c>
      <c r="F163" s="659" t="str">
        <f>VLOOKUP(A163,BountyData!$A:$K,2,FALSE)</f>
        <v>是</v>
      </c>
    </row>
    <row r="164" spans="1:6">
      <c r="A164" s="614" t="s">
        <v>4401</v>
      </c>
      <c r="B164" s="653" t="str">
        <f>VLOOKUP(A164,BountyData!$A:$K,3,FALSE)</f>
        <v>消灭紫怪</v>
      </c>
      <c r="C164" s="654" t="str">
        <f>VLOOKUP(A164,BountyData!$A:$K,$H$1+3,FALSE)</f>
        <v>悬赏任务：消灭凶恶的莱哈</v>
      </c>
      <c r="D164" s="594" t="str">
        <f>VLOOKUP(A164,BountyData!$A:$K,8,FALSE)</f>
        <v>A2</v>
      </c>
      <c r="E164" s="96" t="str">
        <f>VLOOKUP(A164,BountyData!$A:$K,$H$1+8,FALSE)</f>
        <v>凄凉沙漠</v>
      </c>
      <c r="F164" s="659" t="str">
        <f>VLOOKUP(A164,BountyData!$A:$K,2,FALSE)</f>
        <v>是</v>
      </c>
    </row>
    <row r="165" spans="1:6">
      <c r="A165" s="614" t="s">
        <v>5081</v>
      </c>
      <c r="B165" s="588" t="str">
        <f>VLOOKUP(A165,BountyData!$A:$K,3,FALSE)</f>
        <v>怪物全清</v>
      </c>
      <c r="C165" s="599" t="str">
        <f>VLOOKUP(A165,BountyData!$A:$K,$H$1+3,FALSE)</f>
        <v>悬赏任务：清理西部水渠</v>
      </c>
      <c r="D165" s="594" t="str">
        <f>VLOOKUP(A165,BountyData!$A:$K,8,FALSE)</f>
        <v>A2</v>
      </c>
      <c r="E165" s="96" t="str">
        <f>VLOOKUP(A165,BountyData!$A:$K,$H$1+8,FALSE)</f>
        <v>远古水道</v>
      </c>
      <c r="F165" s="659" t="str">
        <f>VLOOKUP(A165,BountyData!$A:$K,2,FALSE)</f>
        <v>是</v>
      </c>
    </row>
    <row r="166" spans="1:6">
      <c r="A166" s="614" t="s">
        <v>5079</v>
      </c>
      <c r="B166" s="588" t="str">
        <f>VLOOKUP(A166,BountyData!$A:$K,3,FALSE)</f>
        <v>怪物全清</v>
      </c>
      <c r="C166" s="599" t="str">
        <f>VLOOKUP(A166,BountyData!$A:$K,$H$1+3,FALSE)</f>
        <v>悬赏任务：清理东部水渠</v>
      </c>
      <c r="D166" s="594" t="str">
        <f>VLOOKUP(A166,BountyData!$A:$K,8,FALSE)</f>
        <v>A2</v>
      </c>
      <c r="E166" s="96" t="str">
        <f>VLOOKUP(A166,BountyData!$A:$K,$H$1+8,FALSE)</f>
        <v>远古水道</v>
      </c>
      <c r="F166" s="659" t="str">
        <f>VLOOKUP(A166,BountyData!$A:$K,2,FALSE)</f>
        <v>是</v>
      </c>
    </row>
    <row r="167" spans="1:6">
      <c r="A167" s="614" t="s">
        <v>5091</v>
      </c>
      <c r="B167" s="651" t="str">
        <f>VLOOKUP(A167,BountyData!$A:$K,3,FALSE)</f>
        <v>完成事件</v>
      </c>
      <c r="C167" s="652" t="str">
        <f>VLOOKUP(A167,BountyData!$A:$K,$H$1+3,FALSE)</f>
        <v>悬赏任务：恶臭水道</v>
      </c>
      <c r="D167" s="594" t="str">
        <f>VLOOKUP(A167,BountyData!$A:$K,8,FALSE)</f>
        <v>A2</v>
      </c>
      <c r="E167" s="96" t="str">
        <f>VLOOKUP(A167,BountyData!$A:$K,$H$1+8,FALSE)</f>
        <v>远古水道</v>
      </c>
      <c r="F167" s="659" t="str">
        <f>VLOOKUP(A167,BountyData!$A:$K,2,FALSE)</f>
        <v>是</v>
      </c>
    </row>
    <row r="168" spans="1:6">
      <c r="A168" s="614" t="s">
        <v>5085</v>
      </c>
      <c r="B168" s="653" t="str">
        <f>VLOOKUP(A168,BountyData!$A:$K,3,FALSE)</f>
        <v>消灭紫怪</v>
      </c>
      <c r="C168" s="654" t="str">
        <f>VLOOKUP(A168,BountyData!$A:$K,$H$1+3,FALSE)</f>
        <v>悬赏任务：消灭古鲁尔</v>
      </c>
      <c r="D168" s="594" t="str">
        <f>VLOOKUP(A168,BountyData!$A:$K,8,FALSE)</f>
        <v>A2</v>
      </c>
      <c r="E168" s="96" t="str">
        <f>VLOOKUP(A168,BountyData!$A:$K,$H$1+8,FALSE)</f>
        <v>远古水道</v>
      </c>
      <c r="F168" s="659" t="str">
        <f>VLOOKUP(A168,BountyData!$A:$K,2,FALSE)</f>
        <v>是</v>
      </c>
    </row>
    <row r="169" spans="1:6">
      <c r="A169" s="614" t="s">
        <v>5087</v>
      </c>
      <c r="B169" s="653" t="str">
        <f>VLOOKUP(A169,BountyData!$A:$K,3,FALSE)</f>
        <v>消灭紫怪</v>
      </c>
      <c r="C169" s="654" t="str">
        <f>VLOOKUP(A169,BountyData!$A:$K,$H$1+3,FALSE)</f>
        <v>悬赏任务：消灭被诅咒的奥特兹</v>
      </c>
      <c r="D169" s="594" t="str">
        <f>VLOOKUP(A169,BountyData!$A:$K,8,FALSE)</f>
        <v>A2</v>
      </c>
      <c r="E169" s="96" t="str">
        <f>VLOOKUP(A169,BountyData!$A:$K,$H$1+8,FALSE)</f>
        <v>远古水道</v>
      </c>
      <c r="F169" s="659" t="str">
        <f>VLOOKUP(A169,BountyData!$A:$K,2,FALSE)</f>
        <v>是</v>
      </c>
    </row>
    <row r="170" spans="1:6">
      <c r="A170" s="614" t="s">
        <v>5089</v>
      </c>
      <c r="B170" s="653" t="str">
        <f>VLOOKUP(A170,BountyData!$A:$K,3,FALSE)</f>
        <v>消灭紫怪</v>
      </c>
      <c r="C170" s="654" t="str">
        <f>VLOOKUP(A170,BountyData!$A:$K,$H$1+3,FALSE)</f>
        <v>悬赏任务：消灭死亡针群</v>
      </c>
      <c r="D170" s="594" t="str">
        <f>VLOOKUP(A170,BountyData!$A:$K,8,FALSE)</f>
        <v>A2</v>
      </c>
      <c r="E170" s="96" t="str">
        <f>VLOOKUP(A170,BountyData!$A:$K,$H$1+8,FALSE)</f>
        <v>远古水道</v>
      </c>
      <c r="F170" s="659" t="str">
        <f>VLOOKUP(A170,BountyData!$A:$K,2,FALSE)</f>
        <v>是</v>
      </c>
    </row>
    <row r="171" spans="1:6">
      <c r="A171" s="614" t="s">
        <v>5083</v>
      </c>
      <c r="B171" s="653" t="str">
        <f>VLOOKUP(A171,BountyData!$A:$K,3,FALSE)</f>
        <v>消灭紫怪</v>
      </c>
      <c r="C171" s="654" t="str">
        <f>VLOOKUP(A171,BountyData!$A:$K,$H$1+3,FALSE)</f>
        <v>悬赏任务：消灭亚卡拉</v>
      </c>
      <c r="D171" s="594" t="str">
        <f>VLOOKUP(A171,BountyData!$A:$K,8,FALSE)</f>
        <v>A2</v>
      </c>
      <c r="E171" s="96" t="str">
        <f>VLOOKUP(A171,BountyData!$A:$K,$H$1+8,FALSE)</f>
        <v>远古水道</v>
      </c>
      <c r="F171" s="659" t="str">
        <f>VLOOKUP(A171,BountyData!$A:$K,2,FALSE)</f>
        <v>是</v>
      </c>
    </row>
    <row r="172" spans="1:6">
      <c r="A172" s="614" t="s">
        <v>5027</v>
      </c>
      <c r="B172" s="651" t="str">
        <f>VLOOKUP(A172,BountyData!$A:$K,3,FALSE)</f>
        <v>完成事件</v>
      </c>
      <c r="C172" s="652" t="str">
        <f>VLOOKUP(A172,BountyData!$A:$K,$H$1+3,FALSE)</f>
        <v>悬赏任务：诅咒之坑</v>
      </c>
      <c r="D172" s="594" t="str">
        <f>VLOOKUP(A172,BountyData!$A:$K,8,FALSE)</f>
        <v>A2</v>
      </c>
      <c r="E172" s="96" t="str">
        <f>VLOOKUP(A172,BountyData!$A:$K,$H$1+8,FALSE)</f>
        <v>佐敦·库勒藏书馆</v>
      </c>
      <c r="F172" s="659" t="str">
        <f>VLOOKUP(A172,BountyData!$A:$K,2,FALSE)</f>
        <v>是</v>
      </c>
    </row>
    <row r="173" spans="1:6">
      <c r="A173" s="614" t="s">
        <v>5025</v>
      </c>
      <c r="B173" s="651" t="str">
        <f>VLOOKUP(A173,BountyData!$A:$K,3,FALSE)</f>
        <v>完成事件</v>
      </c>
      <c r="C173" s="652" t="str">
        <f>VLOOKUP(A173,BountyData!$A:$K,$H$1+3,FALSE)</f>
        <v>悬赏任务：诅咒高塔</v>
      </c>
      <c r="D173" s="594" t="str">
        <f>VLOOKUP(A173,BountyData!$A:$K,8,FALSE)</f>
        <v>A2</v>
      </c>
      <c r="E173" s="96" t="str">
        <f>VLOOKUP(A173,BountyData!$A:$K,$H$1+8,FALSE)</f>
        <v>佐敦·库勒藏书馆</v>
      </c>
      <c r="F173" s="659" t="str">
        <f>VLOOKUP(A173,BountyData!$A:$K,2,FALSE)</f>
        <v>是</v>
      </c>
    </row>
    <row r="174" spans="1:6">
      <c r="A174" s="614" t="s">
        <v>4572</v>
      </c>
      <c r="B174" s="590" t="str">
        <f>VLOOKUP(A174,BountyData!$A:$K,3,FALSE)</f>
        <v>消灭首领</v>
      </c>
      <c r="C174" s="601" t="str">
        <f>VLOOKUP(A174,BountyData!$A:$K,$H$1+3,FALSE)</f>
        <v>悬赏任务：消灭佐敦·库勒</v>
      </c>
      <c r="D174" s="594" t="str">
        <f>VLOOKUP(A174,BountyData!$A:$K,8,FALSE)</f>
        <v>A2</v>
      </c>
      <c r="E174" s="96" t="str">
        <f>VLOOKUP(A174,BountyData!$A:$K,$H$1+8,FALSE)</f>
        <v>佐敦·库勒藏书馆</v>
      </c>
      <c r="F174" s="659" t="str">
        <f>VLOOKUP(A174,BountyData!$A:$K,2,FALSE)</f>
        <v>是</v>
      </c>
    </row>
    <row r="175" spans="1:6">
      <c r="A175" s="614" t="s">
        <v>4411</v>
      </c>
      <c r="B175" s="653" t="str">
        <f>VLOOKUP(A175,BountyData!$A:$K,3,FALSE)</f>
        <v>消灭紫怪</v>
      </c>
      <c r="C175" s="654" t="str">
        <f>VLOOKUP(A175,BountyData!$A:$K,$H$1+3,FALSE)</f>
        <v>悬赏任务：消灭地狱尖啸者</v>
      </c>
      <c r="D175" s="594" t="str">
        <f>VLOOKUP(A175,BountyData!$A:$K,8,FALSE)</f>
        <v>A2</v>
      </c>
      <c r="E175" s="96" t="str">
        <f>VLOOKUP(A175,BountyData!$A:$K,$H$1+8,FALSE)</f>
        <v>佐敦·库勒藏书馆</v>
      </c>
      <c r="F175" s="659" t="str">
        <f>VLOOKUP(A175,BountyData!$A:$K,2,FALSE)</f>
        <v>是</v>
      </c>
    </row>
    <row r="176" spans="1:6">
      <c r="A176" s="614" t="s">
        <v>4568</v>
      </c>
      <c r="B176" s="653" t="str">
        <f>VLOOKUP(A176,BountyData!$A:$K,3,FALSE)</f>
        <v>消灭紫怪</v>
      </c>
      <c r="C176" s="654" t="str">
        <f>VLOOKUP(A176,BountyData!$A:$K,$H$1+3,FALSE)</f>
        <v>悬赏任务：消灭法圣考斯图斯</v>
      </c>
      <c r="D176" s="594" t="str">
        <f>VLOOKUP(A176,BountyData!$A:$K,8,FALSE)</f>
        <v>A2</v>
      </c>
      <c r="E176" s="96" t="str">
        <f>VLOOKUP(A176,BountyData!$A:$K,$H$1+8,FALSE)</f>
        <v>佐敦·库勒藏书馆</v>
      </c>
      <c r="F176" s="659" t="str">
        <f>VLOOKUP(A176,BountyData!$A:$K,2,FALSE)</f>
        <v>是</v>
      </c>
    </row>
    <row r="177" spans="1:6">
      <c r="A177" s="614" t="s">
        <v>4570</v>
      </c>
      <c r="B177" s="653" t="str">
        <f>VLOOKUP(A177,BountyData!$A:$K,3,FALSE)</f>
        <v>消灭紫怪</v>
      </c>
      <c r="C177" s="654" t="str">
        <f>VLOOKUP(A177,BountyData!$A:$K,$H$1+3,FALSE)</f>
        <v>悬赏任务：消灭法圣弗雷德恩</v>
      </c>
      <c r="D177" s="594" t="str">
        <f>VLOOKUP(A177,BountyData!$A:$K,8,FALSE)</f>
        <v>A2</v>
      </c>
      <c r="E177" s="96" t="str">
        <f>VLOOKUP(A177,BountyData!$A:$K,$H$1+8,FALSE)</f>
        <v>佐敦·库勒藏书馆</v>
      </c>
      <c r="F177" s="659" t="str">
        <f>VLOOKUP(A177,BountyData!$A:$K,2,FALSE)</f>
        <v>是</v>
      </c>
    </row>
    <row r="178" spans="1:6">
      <c r="A178" s="614" t="s">
        <v>4419</v>
      </c>
      <c r="B178" s="653" t="str">
        <f>VLOOKUP(A178,BountyData!$A:$K,3,FALSE)</f>
        <v>消灭紫怪</v>
      </c>
      <c r="C178" s="654" t="str">
        <f>VLOOKUP(A178,BountyData!$A:$K,$H$1+3,FALSE)</f>
        <v>悬赏任务：消灭法圣圭亚恩</v>
      </c>
      <c r="D178" s="594" t="str">
        <f>VLOOKUP(A178,BountyData!$A:$K,8,FALSE)</f>
        <v>A2</v>
      </c>
      <c r="E178" s="96" t="str">
        <f>VLOOKUP(A178,BountyData!$A:$K,$H$1+8,FALSE)</f>
        <v>佐敦·库勒藏书馆</v>
      </c>
      <c r="F178" s="659" t="str">
        <f>VLOOKUP(A178,BountyData!$A:$K,2,FALSE)</f>
        <v>是</v>
      </c>
    </row>
    <row r="179" spans="1:6">
      <c r="A179" s="614" t="s">
        <v>4417</v>
      </c>
      <c r="B179" s="653" t="str">
        <f>VLOOKUP(A179,BountyData!$A:$K,3,FALSE)</f>
        <v>消灭紫怪</v>
      </c>
      <c r="C179" s="654" t="str">
        <f>VLOOKUP(A179,BountyData!$A:$K,$H$1+3,FALSE)</f>
        <v>悬赏任务：消灭法圣思科马拉</v>
      </c>
      <c r="D179" s="594" t="str">
        <f>VLOOKUP(A179,BountyData!$A:$K,8,FALSE)</f>
        <v>A2</v>
      </c>
      <c r="E179" s="96" t="str">
        <f>VLOOKUP(A179,BountyData!$A:$K,$H$1+8,FALSE)</f>
        <v>佐敦·库勒藏书馆</v>
      </c>
      <c r="F179" s="659" t="str">
        <f>VLOOKUP(A179,BountyData!$A:$K,2,FALSE)</f>
        <v>是</v>
      </c>
    </row>
    <row r="180" spans="1:6">
      <c r="A180" s="614" t="s">
        <v>4566</v>
      </c>
      <c r="B180" s="653" t="str">
        <f>VLOOKUP(A180,BountyData!$A:$K,3,FALSE)</f>
        <v>消灭紫怪</v>
      </c>
      <c r="C180" s="654" t="str">
        <f>VLOOKUP(A180,BountyData!$A:$K,$H$1+3,FALSE)</f>
        <v>悬赏任务：消灭石肠</v>
      </c>
      <c r="D180" s="594" t="str">
        <f>VLOOKUP(A180,BountyData!$A:$K,8,FALSE)</f>
        <v>A2</v>
      </c>
      <c r="E180" s="96" t="str">
        <f>VLOOKUP(A180,BountyData!$A:$K,$H$1+8,FALSE)</f>
        <v>佐敦·库勒藏书馆</v>
      </c>
      <c r="F180" s="659" t="str">
        <f>VLOOKUP(A180,BountyData!$A:$K,2,FALSE)</f>
        <v>是</v>
      </c>
    </row>
    <row r="181" spans="1:6">
      <c r="A181" s="614" t="s">
        <v>4407</v>
      </c>
      <c r="B181" s="653" t="str">
        <f>VLOOKUP(A181,BountyData!$A:$K,3,FALSE)</f>
        <v>消灭紫怪</v>
      </c>
      <c r="C181" s="654" t="str">
        <f>VLOOKUP(A181,BountyData!$A:$K,$H$1+3,FALSE)</f>
        <v>悬赏任务：消灭档案保管员</v>
      </c>
      <c r="D181" s="594" t="str">
        <f>VLOOKUP(A181,BountyData!$A:$K,8,FALSE)</f>
        <v>A2</v>
      </c>
      <c r="E181" s="96" t="str">
        <f>VLOOKUP(A181,BountyData!$A:$K,$H$1+8,FALSE)</f>
        <v>佐敦·库勒藏书馆</v>
      </c>
      <c r="F181" s="659" t="str">
        <f>VLOOKUP(A181,BountyData!$A:$K,2,FALSE)</f>
        <v>是</v>
      </c>
    </row>
    <row r="182" spans="1:6">
      <c r="A182" s="614" t="s">
        <v>4415</v>
      </c>
      <c r="B182" s="653" t="str">
        <f>VLOOKUP(A182,BountyData!$A:$K,3,FALSE)</f>
        <v>消灭紫怪</v>
      </c>
      <c r="C182" s="654" t="str">
        <f>VLOOKUP(A182,BountyData!$A:$K,$H$1+3,FALSE)</f>
        <v>悬赏任务：消灭典籍守护者</v>
      </c>
      <c r="D182" s="594" t="str">
        <f>VLOOKUP(A182,BountyData!$A:$K,8,FALSE)</f>
        <v>A2</v>
      </c>
      <c r="E182" s="96" t="str">
        <f>VLOOKUP(A182,BountyData!$A:$K,$H$1+8,FALSE)</f>
        <v>佐敦·库勒藏书馆</v>
      </c>
      <c r="F182" s="659" t="str">
        <f>VLOOKUP(A182,BountyData!$A:$K,2,FALSE)</f>
        <v>是</v>
      </c>
    </row>
    <row r="183" spans="1:6">
      <c r="A183" s="614" t="s">
        <v>4413</v>
      </c>
      <c r="B183" s="653" t="str">
        <f>VLOOKUP(A183,BountyData!$A:$K,3,FALSE)</f>
        <v>消灭紫怪</v>
      </c>
      <c r="C183" s="654" t="str">
        <f>VLOOKUP(A183,BountyData!$A:$K,$H$1+3,FALSE)</f>
        <v>悬赏任务：消灭苏姆</v>
      </c>
      <c r="D183" s="594" t="str">
        <f>VLOOKUP(A183,BountyData!$A:$K,8,FALSE)</f>
        <v>A2</v>
      </c>
      <c r="E183" s="96" t="str">
        <f>VLOOKUP(A183,BountyData!$A:$K,$H$1+8,FALSE)</f>
        <v>佐敦·库勒藏书馆</v>
      </c>
      <c r="F183" s="659" t="str">
        <f>VLOOKUP(A183,BountyData!$A:$K,2,FALSE)</f>
        <v>是</v>
      </c>
    </row>
    <row r="184" spans="1:6">
      <c r="A184" s="614" t="s">
        <v>4409</v>
      </c>
      <c r="B184" s="653" t="str">
        <f>VLOOKUP(A184,BountyData!$A:$K,3,FALSE)</f>
        <v>消灭紫怪</v>
      </c>
      <c r="C184" s="654" t="str">
        <f>VLOOKUP(A184,BountyData!$A:$K,$H$1+3,FALSE)</f>
        <v>悬赏任务：消灭狂怒的图基什</v>
      </c>
      <c r="D184" s="594" t="str">
        <f>VLOOKUP(A184,BountyData!$A:$K,8,FALSE)</f>
        <v>A2</v>
      </c>
      <c r="E184" s="96" t="str">
        <f>VLOOKUP(A184,BountyData!$A:$K,$H$1+8,FALSE)</f>
        <v>佐敦·库勒藏书馆</v>
      </c>
      <c r="F184" s="659" t="str">
        <f>VLOOKUP(A184,BountyData!$A:$K,2,FALSE)</f>
        <v>是</v>
      </c>
    </row>
    <row r="185" spans="1:6">
      <c r="A185" s="614" t="s">
        <v>5117</v>
      </c>
      <c r="B185" s="589" t="str">
        <f>VLOOKUP(A185,BountyData!$A:$K,3,FALSE)</f>
        <v>扫荡野营</v>
      </c>
      <c r="C185" s="600" t="str">
        <f>VLOOKUP(A185,BountyData!$A:$K,$H$1+3,FALSE)</f>
        <v>悬赏任务：投石车指挥</v>
      </c>
      <c r="D185" s="595" t="str">
        <f>VLOOKUP(A185,BountyData!$A:$K,8,FALSE)</f>
        <v>A3</v>
      </c>
      <c r="E185" s="217" t="str">
        <f>VLOOKUP(A185,BountyData!$A:$K,$H$1+8,FALSE)</f>
        <v>坚石壁垒</v>
      </c>
      <c r="F185" s="659" t="str">
        <f>VLOOKUP(A185,BountyData!$A:$K,2,FALSE)</f>
        <v>是</v>
      </c>
    </row>
    <row r="186" spans="1:6">
      <c r="A186" s="614" t="s">
        <v>4978</v>
      </c>
      <c r="B186" s="653" t="str">
        <f>VLOOKUP(A186,BountyData!$A:$K,3,FALSE)</f>
        <v>消灭紫怪</v>
      </c>
      <c r="C186" s="654" t="str">
        <f>VLOOKUP(A186,BountyData!$A:$K,$H$1+3,FALSE)</f>
        <v>悬赏任务：消灭阿鲁卡伊德</v>
      </c>
      <c r="D186" s="595" t="str">
        <f>VLOOKUP(A186,BountyData!$A:$K,8,FALSE)</f>
        <v>A3</v>
      </c>
      <c r="E186" s="217" t="str">
        <f>VLOOKUP(A186,BountyData!$A:$K,$H$1+8,FALSE)</f>
        <v>坚石壁垒</v>
      </c>
      <c r="F186" s="659" t="str">
        <f>VLOOKUP(A186,BountyData!$A:$K,2,FALSE)</f>
        <v>是</v>
      </c>
    </row>
    <row r="187" spans="1:6">
      <c r="A187" s="614" t="s">
        <v>4976</v>
      </c>
      <c r="B187" s="653" t="str">
        <f>VLOOKUP(A187,BountyData!$A:$K,3,FALSE)</f>
        <v>消灭紫怪</v>
      </c>
      <c r="C187" s="654" t="str">
        <f>VLOOKUP(A187,BountyData!$A:$K,$H$1+3,FALSE)</f>
        <v>悬赏任务：消灭巴鲁库斯</v>
      </c>
      <c r="D187" s="595" t="str">
        <f>VLOOKUP(A187,BountyData!$A:$K,8,FALSE)</f>
        <v>A3</v>
      </c>
      <c r="E187" s="217" t="str">
        <f>VLOOKUP(A187,BountyData!$A:$K,$H$1+8,FALSE)</f>
        <v>坚石壁垒</v>
      </c>
      <c r="F187" s="659" t="str">
        <f>VLOOKUP(A187,BountyData!$A:$K,2,FALSE)</f>
        <v>是</v>
      </c>
    </row>
    <row r="188" spans="1:6">
      <c r="A188" s="614" t="s">
        <v>4425</v>
      </c>
      <c r="B188" s="653" t="str">
        <f>VLOOKUP(A188,BountyData!$A:$K,3,FALSE)</f>
        <v>消灭紫怪</v>
      </c>
      <c r="C188" s="654" t="str">
        <f>VLOOKUP(A188,BountyData!$A:$K,$H$1+3,FALSE)</f>
        <v>悬赏任务：消灭砸脸重棍</v>
      </c>
      <c r="D188" s="595" t="str">
        <f>VLOOKUP(A188,BountyData!$A:$K,8,FALSE)</f>
        <v>A3</v>
      </c>
      <c r="E188" s="217" t="str">
        <f>VLOOKUP(A188,BountyData!$A:$K,$H$1+8,FALSE)</f>
        <v>坚石壁垒</v>
      </c>
      <c r="F188" s="659" t="str">
        <f>VLOOKUP(A188,BountyData!$A:$K,2,FALSE)</f>
        <v>是</v>
      </c>
    </row>
    <row r="189" spans="1:6">
      <c r="A189" s="614" t="s">
        <v>4423</v>
      </c>
      <c r="B189" s="653" t="str">
        <f>VLOOKUP(A189,BountyData!$A:$K,3,FALSE)</f>
        <v>消灭紫怪</v>
      </c>
      <c r="C189" s="654" t="str">
        <f>VLOOKUP(A189,BountyData!$A:$K,$H$1+3,FALSE)</f>
        <v>悬赏任务：消灭布里克托</v>
      </c>
      <c r="D189" s="595" t="str">
        <f>VLOOKUP(A189,BountyData!$A:$K,8,FALSE)</f>
        <v>A3</v>
      </c>
      <c r="E189" s="217" t="str">
        <f>VLOOKUP(A189,BountyData!$A:$K,$H$1+8,FALSE)</f>
        <v>坚石壁垒</v>
      </c>
      <c r="F189" s="659" t="str">
        <f>VLOOKUP(A189,BountyData!$A:$K,2,FALSE)</f>
        <v>是</v>
      </c>
    </row>
    <row r="190" spans="1:6">
      <c r="A190" s="614" t="s">
        <v>4972</v>
      </c>
      <c r="B190" s="653" t="str">
        <f>VLOOKUP(A190,BountyData!$A:$K,3,FALSE)</f>
        <v>消灭紫怪</v>
      </c>
      <c r="C190" s="654" t="str">
        <f>VLOOKUP(A190,BountyData!$A:$K,$H$1+3,FALSE)</f>
        <v>悬赏任务：消灭甘萨·欺诈者</v>
      </c>
      <c r="D190" s="595" t="str">
        <f>VLOOKUP(A190,BountyData!$A:$K,8,FALSE)</f>
        <v>A3</v>
      </c>
      <c r="E190" s="217" t="str">
        <f>VLOOKUP(A190,BountyData!$A:$K,$H$1+8,FALSE)</f>
        <v>坚石壁垒</v>
      </c>
      <c r="F190" s="659" t="str">
        <f>VLOOKUP(A190,BountyData!$A:$K,2,FALSE)</f>
        <v>是</v>
      </c>
    </row>
    <row r="191" spans="1:6">
      <c r="A191" s="614" t="s">
        <v>4974</v>
      </c>
      <c r="B191" s="653" t="str">
        <f>VLOOKUP(A191,BountyData!$A:$K,3,FALSE)</f>
        <v>消灭紫怪</v>
      </c>
      <c r="C191" s="654" t="str">
        <f>VLOOKUP(A191,BountyData!$A:$K,$H$1+3,FALSE)</f>
        <v>悬赏任务：消灭格瑞洛德·天谴者</v>
      </c>
      <c r="D191" s="595" t="str">
        <f>VLOOKUP(A191,BountyData!$A:$K,8,FALSE)</f>
        <v>A3</v>
      </c>
      <c r="E191" s="217" t="str">
        <f>VLOOKUP(A191,BountyData!$A:$K,$H$1+8,FALSE)</f>
        <v>坚石壁垒</v>
      </c>
      <c r="F191" s="659" t="str">
        <f>VLOOKUP(A191,BountyData!$A:$K,2,FALSE)</f>
        <v>是</v>
      </c>
    </row>
    <row r="192" spans="1:6">
      <c r="A192" s="614" t="s">
        <v>4427</v>
      </c>
      <c r="B192" s="653" t="str">
        <f>VLOOKUP(A192,BountyData!$A:$K,3,FALSE)</f>
        <v>消灭紫怪</v>
      </c>
      <c r="C192" s="654" t="str">
        <f>VLOOKUP(A192,BountyData!$A:$K,$H$1+3,FALSE)</f>
        <v>悬赏任务：消灭马加锡亚</v>
      </c>
      <c r="D192" s="595" t="str">
        <f>VLOOKUP(A192,BountyData!$A:$K,8,FALSE)</f>
        <v>A3</v>
      </c>
      <c r="E192" s="217" t="str">
        <f>VLOOKUP(A192,BountyData!$A:$K,$H$1+8,FALSE)</f>
        <v>坚石壁垒</v>
      </c>
      <c r="F192" s="659" t="str">
        <f>VLOOKUP(A192,BountyData!$A:$K,2,FALSE)</f>
        <v>是</v>
      </c>
    </row>
    <row r="193" spans="1:6">
      <c r="A193" s="614" t="s">
        <v>4970</v>
      </c>
      <c r="B193" s="653" t="str">
        <f>VLOOKUP(A193,BountyData!$A:$K,3,FALSE)</f>
        <v>消灭紫怪</v>
      </c>
      <c r="C193" s="654" t="str">
        <f>VLOOKUP(A193,BountyData!$A:$K,$H$1+3,FALSE)</f>
        <v>悬赏任务：消灭强大的奥比斯</v>
      </c>
      <c r="D193" s="595" t="str">
        <f>VLOOKUP(A193,BountyData!$A:$K,8,FALSE)</f>
        <v>A3</v>
      </c>
      <c r="E193" s="217" t="str">
        <f>VLOOKUP(A193,BountyData!$A:$K,$H$1+8,FALSE)</f>
        <v>坚石壁垒</v>
      </c>
      <c r="F193" s="659" t="str">
        <f>VLOOKUP(A193,BountyData!$A:$K,2,FALSE)</f>
        <v>是</v>
      </c>
    </row>
    <row r="194" spans="1:6">
      <c r="A194" s="614" t="s">
        <v>4968</v>
      </c>
      <c r="B194" s="653" t="str">
        <f>VLOOKUP(A194,BountyData!$A:$K,3,FALSE)</f>
        <v>消灭紫怪</v>
      </c>
      <c r="C194" s="654" t="str">
        <f>VLOOKUP(A194,BountyData!$A:$K,$H$1+3,FALSE)</f>
        <v>悬赏任务：消灭史隆普·破坏者</v>
      </c>
      <c r="D194" s="595" t="str">
        <f>VLOOKUP(A194,BountyData!$A:$K,8,FALSE)</f>
        <v>A3</v>
      </c>
      <c r="E194" s="217" t="str">
        <f>VLOOKUP(A194,BountyData!$A:$K,$H$1+8,FALSE)</f>
        <v>坚石壁垒</v>
      </c>
      <c r="F194" s="659" t="str">
        <f>VLOOKUP(A194,BountyData!$A:$K,2,FALSE)</f>
        <v>是</v>
      </c>
    </row>
    <row r="195" spans="1:6">
      <c r="A195" s="614" t="s">
        <v>4421</v>
      </c>
      <c r="B195" s="653" t="str">
        <f>VLOOKUP(A195,BountyData!$A:$K,3,FALSE)</f>
        <v>消灭紫怪</v>
      </c>
      <c r="C195" s="654" t="str">
        <f>VLOOKUP(A195,BountyData!$A:$K,$H$1+3,FALSE)</f>
        <v>悬赏任务：消灭萨瑞斯·钥匙守护者</v>
      </c>
      <c r="D195" s="595" t="str">
        <f>VLOOKUP(A195,BountyData!$A:$K,8,FALSE)</f>
        <v>A3</v>
      </c>
      <c r="E195" s="217" t="str">
        <f>VLOOKUP(A195,BountyData!$A:$K,$H$1+8,FALSE)</f>
        <v>坚石壁垒</v>
      </c>
      <c r="F195" s="602" t="str">
        <f>VLOOKUP(A195,BountyData!$A:$K,2,FALSE)</f>
        <v>2.4尚未启用</v>
      </c>
    </row>
    <row r="196" spans="1:6">
      <c r="A196" s="614" t="s">
        <v>4455</v>
      </c>
      <c r="B196" s="588" t="str">
        <f>VLOOKUP(A196,BountyData!$A:$K,3,FALSE)</f>
        <v>怪物全清</v>
      </c>
      <c r="C196" s="599" t="str">
        <f>VLOOKUP(A196,BountyData!$A:$K,$H$1+3,FALSE)</f>
        <v>悬赏任务：清理寒冰洞</v>
      </c>
      <c r="D196" s="595" t="str">
        <f>VLOOKUP(A196,BountyData!$A:$K,8,FALSE)</f>
        <v>A3</v>
      </c>
      <c r="E196" s="217" t="str">
        <f>VLOOKUP(A196,BountyData!$A:$K,$H$1+8,FALSE)</f>
        <v>科尔斯克之桥</v>
      </c>
      <c r="F196" s="659" t="str">
        <f>VLOOKUP(A196,BountyData!$A:$K,2,FALSE)</f>
        <v>是</v>
      </c>
    </row>
    <row r="197" spans="1:6">
      <c r="A197" s="614" t="s">
        <v>4457</v>
      </c>
      <c r="B197" s="588" t="str">
        <f>VLOOKUP(A197,BountyData!$A:$K,3,FALSE)</f>
        <v>怪物全清</v>
      </c>
      <c r="C197" s="599" t="str">
        <f>VLOOKUP(A197,BountyData!$A:$K,$H$1+3,FALSE)</f>
        <v>悬赏任务：清理冰瀑洞穴</v>
      </c>
      <c r="D197" s="595" t="str">
        <f>VLOOKUP(A197,BountyData!$A:$K,8,FALSE)</f>
        <v>A3</v>
      </c>
      <c r="E197" s="217" t="str">
        <f>VLOOKUP(A197,BountyData!$A:$K,$H$1+8,FALSE)</f>
        <v>科尔斯克之桥</v>
      </c>
      <c r="F197" s="659" t="str">
        <f>VLOOKUP(A197,BountyData!$A:$K,2,FALSE)</f>
        <v>是</v>
      </c>
    </row>
    <row r="198" spans="1:6">
      <c r="A198" s="614" t="s">
        <v>5001</v>
      </c>
      <c r="B198" s="651" t="str">
        <f>VLOOKUP(A198,BountyData!$A:$K,3,FALSE)</f>
        <v>完成事件</v>
      </c>
      <c r="C198" s="652" t="str">
        <f>VLOOKUP(A198,BountyData!$A:$K,$H$1+3,FALSE)</f>
        <v>悬赏任务：诅咒冰川</v>
      </c>
      <c r="D198" s="595" t="str">
        <f>VLOOKUP(A198,BountyData!$A:$K,8,FALSE)</f>
        <v>A3</v>
      </c>
      <c r="E198" s="217" t="str">
        <f>VLOOKUP(A198,BountyData!$A:$K,$H$1+8,FALSE)</f>
        <v>科尔斯克之桥</v>
      </c>
      <c r="F198" s="659" t="str">
        <f>VLOOKUP(A198,BountyData!$A:$K,2,FALSE)</f>
        <v>是</v>
      </c>
    </row>
    <row r="199" spans="1:6">
      <c r="A199" s="614" t="s">
        <v>4610</v>
      </c>
      <c r="B199" s="653" t="str">
        <f>VLOOKUP(A199,BountyData!$A:$K,3,FALSE)</f>
        <v>消灭紫怪</v>
      </c>
      <c r="C199" s="654" t="str">
        <f>VLOOKUP(A199,BountyData!$A:$K,$H$1+3,FALSE)</f>
        <v>悬赏任务：消灭琪塔拉</v>
      </c>
      <c r="D199" s="595" t="str">
        <f>VLOOKUP(A199,BountyData!$A:$K,8,FALSE)</f>
        <v>A3</v>
      </c>
      <c r="E199" s="217" t="str">
        <f>VLOOKUP(A199,BountyData!$A:$K,$H$1+8,FALSE)</f>
        <v>科尔斯克之桥</v>
      </c>
      <c r="F199" s="659" t="str">
        <f>VLOOKUP(A199,BountyData!$A:$K,2,FALSE)</f>
        <v>是</v>
      </c>
    </row>
    <row r="200" spans="1:6">
      <c r="A200" s="614" t="s">
        <v>4689</v>
      </c>
      <c r="B200" s="653" t="str">
        <f>VLOOKUP(A200,BountyData!$A:$K,3,FALSE)</f>
        <v>消灭紫怪</v>
      </c>
      <c r="C200" s="654" t="str">
        <f>VLOOKUP(A200,BountyData!$A:$K,$H$1+3,FALSE)</f>
        <v>悬赏任务：消灭恶魔弩炮</v>
      </c>
      <c r="D200" s="595" t="str">
        <f>VLOOKUP(A200,BountyData!$A:$K,8,FALSE)</f>
        <v>A3</v>
      </c>
      <c r="E200" s="217" t="str">
        <f>VLOOKUP(A200,BountyData!$A:$K,$H$1+8,FALSE)</f>
        <v>科尔斯克之桥</v>
      </c>
      <c r="F200" s="602" t="str">
        <f>VLOOKUP(A200,BountyData!$A:$K,2,FALSE)</f>
        <v>2.4尚未启用</v>
      </c>
    </row>
    <row r="201" spans="1:6">
      <c r="A201" s="614" t="s">
        <v>4465</v>
      </c>
      <c r="B201" s="653" t="str">
        <f>VLOOKUP(A201,BountyData!$A:$K,3,FALSE)</f>
        <v>消灭紫怪</v>
      </c>
      <c r="C201" s="654" t="str">
        <f>VLOOKUP(A201,BountyData!$A:$K,$H$1+3,FALSE)</f>
        <v>悬赏任务：消灭灰烬之翼</v>
      </c>
      <c r="D201" s="595" t="str">
        <f>VLOOKUP(A201,BountyData!$A:$K,8,FALSE)</f>
        <v>A3</v>
      </c>
      <c r="E201" s="217" t="str">
        <f>VLOOKUP(A201,BountyData!$A:$K,$H$1+8,FALSE)</f>
        <v>科尔斯克之桥</v>
      </c>
      <c r="F201" s="659" t="str">
        <f>VLOOKUP(A201,BountyData!$A:$K,2,FALSE)</f>
        <v>是</v>
      </c>
    </row>
    <row r="202" spans="1:6">
      <c r="A202" s="614" t="s">
        <v>4604</v>
      </c>
      <c r="B202" s="653" t="str">
        <f>VLOOKUP(A202,BountyData!$A:$K,3,FALSE)</f>
        <v>消灭紫怪</v>
      </c>
      <c r="C202" s="654" t="str">
        <f>VLOOKUP(A202,BountyData!$A:$K,$H$1+3,FALSE)</f>
        <v>悬赏任务：消灭残忍的加勒姆</v>
      </c>
      <c r="D202" s="595" t="str">
        <f>VLOOKUP(A202,BountyData!$A:$K,8,FALSE)</f>
        <v>A3</v>
      </c>
      <c r="E202" s="217" t="str">
        <f>VLOOKUP(A202,BountyData!$A:$K,$H$1+8,FALSE)</f>
        <v>科尔斯克之桥</v>
      </c>
      <c r="F202" s="659" t="str">
        <f>VLOOKUP(A202,BountyData!$A:$K,2,FALSE)</f>
        <v>是</v>
      </c>
    </row>
    <row r="203" spans="1:6">
      <c r="A203" s="614" t="s">
        <v>4463</v>
      </c>
      <c r="B203" s="653" t="str">
        <f>VLOOKUP(A203,BountyData!$A:$K,3,FALSE)</f>
        <v>消灭紫怪</v>
      </c>
      <c r="C203" s="654" t="str">
        <f>VLOOKUP(A203,BountyData!$A:$K,$H$1+3,FALSE)</f>
        <v>悬赏任务：消灭残暴的舍提克</v>
      </c>
      <c r="D203" s="595" t="str">
        <f>VLOOKUP(A203,BountyData!$A:$K,8,FALSE)</f>
        <v>A3</v>
      </c>
      <c r="E203" s="217" t="str">
        <f>VLOOKUP(A203,BountyData!$A:$K,$H$1+8,FALSE)</f>
        <v>科尔斯克之桥</v>
      </c>
      <c r="F203" s="659" t="str">
        <f>VLOOKUP(A203,BountyData!$A:$K,2,FALSE)</f>
        <v>是</v>
      </c>
    </row>
    <row r="204" spans="1:6">
      <c r="A204" s="614" t="s">
        <v>4598</v>
      </c>
      <c r="B204" s="588" t="str">
        <f>VLOOKUP(A204,BountyData!$A:$K,3,FALSE)</f>
        <v>怪物全清</v>
      </c>
      <c r="C204" s="599" t="str">
        <f>VLOOKUP(A204,BountyData!$A:$K,$H$1+3,FALSE)</f>
        <v>悬赏任务：清理桥底</v>
      </c>
      <c r="D204" s="595" t="str">
        <f>VLOOKUP(A204,BountyData!$A:$K,8,FALSE)</f>
        <v>A3</v>
      </c>
      <c r="E204" s="217" t="str">
        <f>VLOOKUP(A204,BountyData!$A:$K,$H$1+8,FALSE)</f>
        <v>拉基斯之渡</v>
      </c>
      <c r="F204" s="659" t="str">
        <f>VLOOKUP(A204,BountyData!$A:$K,2,FALSE)</f>
        <v>是</v>
      </c>
    </row>
    <row r="205" spans="1:6">
      <c r="A205" s="614" t="s">
        <v>5099</v>
      </c>
      <c r="B205" s="589" t="str">
        <f>VLOOKUP(A205,BountyData!$A:$K,3,FALSE)</f>
        <v>扫荡野营</v>
      </c>
      <c r="C205" s="600" t="str">
        <f>VLOOKUP(A205,BountyData!$A:$K,$H$1+3,FALSE)</f>
        <v>悬赏任务：失踪的巡逻兵</v>
      </c>
      <c r="D205" s="595" t="str">
        <f>VLOOKUP(A205,BountyData!$A:$K,8,FALSE)</f>
        <v>A3</v>
      </c>
      <c r="E205" s="217" t="str">
        <f>VLOOKUP(A205,BountyData!$A:$K,$H$1+8,FALSE)</f>
        <v>拉基斯之渡</v>
      </c>
      <c r="F205" s="659" t="str">
        <f>VLOOKUP(A205,BountyData!$A:$K,2,FALSE)</f>
        <v>是</v>
      </c>
    </row>
    <row r="206" spans="1:6">
      <c r="A206" s="614" t="s">
        <v>4449</v>
      </c>
      <c r="B206" s="651" t="str">
        <f>VLOOKUP(A206,BountyData!$A:$K,3,FALSE)</f>
        <v>完成事件</v>
      </c>
      <c r="C206" s="652" t="str">
        <f>VLOOKUP(A206,BountyData!$A:$K,$H$1+3,FALSE)</f>
        <v>悬赏任务：荣耀之焰</v>
      </c>
      <c r="D206" s="595" t="str">
        <f>VLOOKUP(A206,BountyData!$A:$K,8,FALSE)</f>
        <v>A3</v>
      </c>
      <c r="E206" s="217" t="str">
        <f>VLOOKUP(A206,BountyData!$A:$K,$H$1+8,FALSE)</f>
        <v>拉基斯之渡</v>
      </c>
      <c r="F206" s="659" t="str">
        <f>VLOOKUP(A206,BountyData!$A:$K,2,FALSE)</f>
        <v>是</v>
      </c>
    </row>
    <row r="207" spans="1:6">
      <c r="A207" s="614" t="s">
        <v>4451</v>
      </c>
      <c r="B207" s="651" t="str">
        <f>VLOOKUP(A207,BountyData!$A:$K,3,FALSE)</f>
        <v>完成事件</v>
      </c>
      <c r="C207" s="652" t="str">
        <f>VLOOKUP(A207,BountyData!$A:$K,$H$1+3,FALSE)</f>
        <v>悬赏任务：疯狂的攀爬者</v>
      </c>
      <c r="D207" s="595" t="str">
        <f>VLOOKUP(A207,BountyData!$A:$K,8,FALSE)</f>
        <v>A3</v>
      </c>
      <c r="E207" s="217" t="str">
        <f>VLOOKUP(A207,BountyData!$A:$K,$H$1+8,FALSE)</f>
        <v>拉基斯之渡</v>
      </c>
      <c r="F207" s="659" t="str">
        <f>VLOOKUP(A207,BountyData!$A:$K,2,FALSE)</f>
        <v>是</v>
      </c>
    </row>
    <row r="208" spans="1:6">
      <c r="A208" s="614" t="s">
        <v>6283</v>
      </c>
      <c r="B208" s="590" t="str">
        <f>VLOOKUP(A208,BountyData!$A:$K,3,FALSE)</f>
        <v>消灭首领</v>
      </c>
      <c r="C208" s="601" t="str">
        <f>VLOOKUP(A208,BountyData!$A:$K,$H$1+3,FALSE)</f>
        <v>悬赏任务：消灭攻城突击兽</v>
      </c>
      <c r="D208" s="595" t="str">
        <f>VLOOKUP(A208,BountyData!$A:$K,8,FALSE)</f>
        <v>A3</v>
      </c>
      <c r="E208" s="217" t="str">
        <f>VLOOKUP(A208,BountyData!$A:$K,$H$1+8,FALSE)</f>
        <v>拉基斯之渡</v>
      </c>
      <c r="F208" s="659" t="str">
        <f>VLOOKUP(A208,BountyData!$A:$K,2,FALSE)</f>
        <v>是</v>
      </c>
    </row>
    <row r="209" spans="1:6">
      <c r="A209" s="614" t="s">
        <v>4606</v>
      </c>
      <c r="B209" s="653" t="str">
        <f>VLOOKUP(A209,BountyData!$A:$K,3,FALSE)</f>
        <v>消灭紫怪</v>
      </c>
      <c r="C209" s="654" t="str">
        <f>VLOOKUP(A209,BountyData!$A:$K,$H$1+3,FALSE)</f>
        <v>悬赏任务：消灭恐爪天鬼</v>
      </c>
      <c r="D209" s="595" t="str">
        <f>VLOOKUP(A209,BountyData!$A:$K,8,FALSE)</f>
        <v>A3</v>
      </c>
      <c r="E209" s="217" t="str">
        <f>VLOOKUP(A209,BountyData!$A:$K,$H$1+8,FALSE)</f>
        <v>拉基斯之渡</v>
      </c>
      <c r="F209" s="659" t="str">
        <f>VLOOKUP(A209,BountyData!$A:$K,2,FALSE)</f>
        <v>是</v>
      </c>
    </row>
    <row r="210" spans="1:6">
      <c r="A210" s="614" t="s">
        <v>4467</v>
      </c>
      <c r="B210" s="653" t="str">
        <f>VLOOKUP(A210,BountyData!$A:$K,3,FALSE)</f>
        <v>消灭紫怪</v>
      </c>
      <c r="C210" s="654" t="str">
        <f>VLOOKUP(A210,BountyData!$A:$K,$H$1+3,FALSE)</f>
        <v>悬赏任务：消灭加刚纳格</v>
      </c>
      <c r="D210" s="595" t="str">
        <f>VLOOKUP(A210,BountyData!$A:$K,8,FALSE)</f>
        <v>A3</v>
      </c>
      <c r="E210" s="217" t="str">
        <f>VLOOKUP(A210,BountyData!$A:$K,$H$1+8,FALSE)</f>
        <v>拉基斯之渡</v>
      </c>
      <c r="F210" s="659" t="str">
        <f>VLOOKUP(A210,BountyData!$A:$K,2,FALSE)</f>
        <v>是</v>
      </c>
    </row>
    <row r="211" spans="1:6">
      <c r="A211" s="614" t="s">
        <v>4685</v>
      </c>
      <c r="B211" s="653" t="str">
        <f>VLOOKUP(A211,BountyData!$A:$K,3,FALSE)</f>
        <v>消灭紫怪</v>
      </c>
      <c r="C211" s="654" t="str">
        <f>VLOOKUP(A211,BountyData!$A:$K,$H$1+3,FALSE)</f>
        <v>悬赏任务：消灭残暴的卢默克</v>
      </c>
      <c r="D211" s="595" t="str">
        <f>VLOOKUP(A211,BountyData!$A:$K,8,FALSE)</f>
        <v>A3</v>
      </c>
      <c r="E211" s="217" t="str">
        <f>VLOOKUP(A211,BountyData!$A:$K,$H$1+8,FALSE)</f>
        <v>拉基斯之渡</v>
      </c>
      <c r="F211" s="659" t="str">
        <f>VLOOKUP(A211,BountyData!$A:$K,2,FALSE)</f>
        <v>是</v>
      </c>
    </row>
    <row r="212" spans="1:6">
      <c r="A212" s="614" t="s">
        <v>4608</v>
      </c>
      <c r="B212" s="653" t="str">
        <f>VLOOKUP(A212,BountyData!$A:$K,3,FALSE)</f>
        <v>消灭紫怪</v>
      </c>
      <c r="C212" s="654" t="str">
        <f>VLOOKUP(A212,BountyData!$A:$K,$H$1+3,FALSE)</f>
        <v>悬赏任务：消灭仙德拉哈</v>
      </c>
      <c r="D212" s="595" t="str">
        <f>VLOOKUP(A212,BountyData!$A:$K,8,FALSE)</f>
        <v>A3</v>
      </c>
      <c r="E212" s="217" t="str">
        <f>VLOOKUP(A212,BountyData!$A:$K,$H$1+8,FALSE)</f>
        <v>拉基斯之渡</v>
      </c>
      <c r="F212" s="659" t="str">
        <f>VLOOKUP(A212,BountyData!$A:$K,2,FALSE)</f>
        <v>是</v>
      </c>
    </row>
    <row r="213" spans="1:6">
      <c r="A213" s="622" t="s">
        <v>6484</v>
      </c>
      <c r="B213" s="588" t="str">
        <f>VLOOKUP(A213,BountyData!$A:$K,3,FALSE)</f>
        <v>怪物全清</v>
      </c>
      <c r="C213" s="599" t="str">
        <f>VLOOKUP(A213,BountyData!$A:$K,$H$1+3,FALSE)</f>
        <v>悬赏任务：清理冰窟</v>
      </c>
      <c r="D213" s="595" t="str">
        <f>VLOOKUP(A213,BountyData!$A:$K,8,FALSE)</f>
        <v>A3</v>
      </c>
      <c r="E213" s="217" t="str">
        <f>VLOOKUP(A213,BountyData!$A:$K,$H$1+8,FALSE)</f>
        <v>赛斯切隆废墟</v>
      </c>
      <c r="F213" s="659" t="str">
        <f>VLOOKUP(A213,BountyData!$A:$K,2,FALSE)</f>
        <v>是</v>
      </c>
    </row>
    <row r="214" spans="1:6">
      <c r="A214" s="622" t="s">
        <v>6492</v>
      </c>
      <c r="B214" s="651" t="str">
        <f>VLOOKUP(A214,BountyData!$A:$K,3,FALSE)</f>
        <v>完成事件</v>
      </c>
      <c r="C214" s="652" t="str">
        <f>VLOOKUP(A214,BountyData!$A:$K,$H$1+3,FALSE)</f>
        <v>悬赏任务：被诅咒的永恒森林</v>
      </c>
      <c r="D214" s="595" t="str">
        <f>VLOOKUP(A214,BountyData!$A:$K,8,FALSE)</f>
        <v>A3</v>
      </c>
      <c r="E214" s="217" t="str">
        <f>VLOOKUP(A214,BountyData!$A:$K,$H$1+8,FALSE)</f>
        <v>赛斯切隆废墟</v>
      </c>
      <c r="F214" s="659" t="str">
        <f>VLOOKUP(A214,BountyData!$A:$K,2,FALSE)</f>
        <v>是</v>
      </c>
    </row>
    <row r="215" spans="1:6">
      <c r="A215" s="622" t="s">
        <v>6493</v>
      </c>
      <c r="B215" s="651" t="str">
        <f>VLOOKUP(A215,BountyData!$A:$K,3,FALSE)</f>
        <v>完成事件</v>
      </c>
      <c r="C215" s="652" t="str">
        <f>VLOOKUP(A215,BountyData!$A:$K,$H$1+3,FALSE)</f>
        <v>悬赏任务：被诅咒的永恒圣坛</v>
      </c>
      <c r="D215" s="595" t="str">
        <f>VLOOKUP(A215,BountyData!$A:$K,8,FALSE)</f>
        <v>A3</v>
      </c>
      <c r="E215" s="217" t="str">
        <f>VLOOKUP(A215,BountyData!$A:$K,$H$1+8,FALSE)</f>
        <v>赛斯切隆废墟</v>
      </c>
      <c r="F215" s="659" t="str">
        <f>VLOOKUP(A215,BountyData!$A:$K,2,FALSE)</f>
        <v>是</v>
      </c>
    </row>
    <row r="216" spans="1:6">
      <c r="A216" s="622" t="s">
        <v>6495</v>
      </c>
      <c r="B216" s="651" t="str">
        <f>VLOOKUP(A216,BountyData!$A:$K,3,FALSE)</f>
        <v>完成事件</v>
      </c>
      <c r="C216" s="652" t="str">
        <f>VLOOKUP(A216,BountyData!$A:$K,$H$1+3,FALSE)</f>
        <v>悬赏任务：诅咒城郭</v>
      </c>
      <c r="D216" s="595" t="str">
        <f>VLOOKUP(A216,BountyData!$A:$K,8,FALSE)</f>
        <v>A3</v>
      </c>
      <c r="E216" s="217" t="str">
        <f>VLOOKUP(A216,BountyData!$A:$K,$H$1+8,FALSE)</f>
        <v>赛斯切隆废墟</v>
      </c>
      <c r="F216" s="659" t="str">
        <f>VLOOKUP(A216,BountyData!$A:$K,2,FALSE)</f>
        <v>是</v>
      </c>
    </row>
    <row r="217" spans="1:6">
      <c r="A217" s="622" t="s">
        <v>6488</v>
      </c>
      <c r="B217" s="651" t="str">
        <f>VLOOKUP(A217,BountyData!$A:$K,3,FALSE)</f>
        <v>完成事件</v>
      </c>
      <c r="C217" s="652" t="str">
        <f>VLOOKUP(A217,BountyData!$A:$K,$H$1+3,FALSE)</f>
        <v>悬赏任务：三大守护者</v>
      </c>
      <c r="D217" s="595" t="str">
        <f>VLOOKUP(A217,BountyData!$A:$K,8,FALSE)</f>
        <v>A3</v>
      </c>
      <c r="E217" s="217" t="str">
        <f>VLOOKUP(A217,BountyData!$A:$K,$H$1+8,FALSE)</f>
        <v>赛斯切隆废墟</v>
      </c>
      <c r="F217" s="659" t="str">
        <f>VLOOKUP(A217,BountyData!$A:$K,2,FALSE)</f>
        <v>是</v>
      </c>
    </row>
    <row r="218" spans="1:6">
      <c r="A218" s="622" t="s">
        <v>6490</v>
      </c>
      <c r="B218" s="651" t="str">
        <f>VLOOKUP(A218,BountyData!$A:$K,3,FALSE)</f>
        <v>完成事件</v>
      </c>
      <c r="C218" s="652" t="str">
        <f>VLOOKUP(A218,BountyData!$A:$K,$H$1+3,FALSE)</f>
        <v>悬赏任务：诅咒要塞</v>
      </c>
      <c r="D218" s="595" t="str">
        <f>VLOOKUP(A218,BountyData!$A:$K,8,FALSE)</f>
        <v>A3</v>
      </c>
      <c r="E218" s="217" t="str">
        <f>VLOOKUP(A218,BountyData!$A:$K,$H$1+8,FALSE)</f>
        <v>赛斯切隆废墟</v>
      </c>
      <c r="F218" s="659" t="str">
        <f>VLOOKUP(A218,BountyData!$A:$K,2,FALSE)</f>
        <v>是</v>
      </c>
    </row>
    <row r="219" spans="1:6">
      <c r="A219" s="622" t="s">
        <v>6486</v>
      </c>
      <c r="B219" s="651" t="str">
        <f>VLOOKUP(A219,BountyData!$A:$K,3,FALSE)</f>
        <v>完成事件</v>
      </c>
      <c r="C219" s="652" t="str">
        <f>VLOOKUP(A219,BountyData!$A:$K,$H$1+3,FALSE)</f>
        <v>悬赏任务：最后的野蛮人</v>
      </c>
      <c r="D219" s="595" t="str">
        <f>VLOOKUP(A219,BountyData!$A:$K,8,FALSE)</f>
        <v>A3</v>
      </c>
      <c r="E219" s="217" t="str">
        <f>VLOOKUP(A219,BountyData!$A:$K,$H$1+8,FALSE)</f>
        <v>赛斯切隆废墟</v>
      </c>
      <c r="F219" s="659" t="str">
        <f>VLOOKUP(A219,BountyData!$A:$K,2,FALSE)</f>
        <v>是</v>
      </c>
    </row>
    <row r="220" spans="1:6">
      <c r="A220" s="614" t="s">
        <v>5114</v>
      </c>
      <c r="B220" s="651" t="str">
        <f>VLOOKUP(A220,BountyData!$A:$K,3,FALSE)</f>
        <v>完成事件</v>
      </c>
      <c r="C220" s="652" t="str">
        <f>VLOOKUP(A220,BountyData!$A:$K,$H$1+3,FALSE)</f>
        <v>悬赏任务：祭塔之王</v>
      </c>
      <c r="D220" s="595" t="str">
        <f>VLOOKUP(A220,BountyData!$A:$K,8,FALSE)</f>
        <v>A3</v>
      </c>
      <c r="E220" s="217" t="str">
        <f>VLOOKUP(A220,BountyData!$A:$K,$H$1+8,FALSE)</f>
        <v>赛斯切隆废墟</v>
      </c>
      <c r="F220" s="659" t="str">
        <f>VLOOKUP(A220,BountyData!$A:$K,2,FALSE)</f>
        <v>是</v>
      </c>
    </row>
    <row r="221" spans="1:6">
      <c r="A221" s="622" t="s">
        <v>6497</v>
      </c>
      <c r="B221" s="653" t="str">
        <f>VLOOKUP(A221,BountyData!$A:$K,3,FALSE)</f>
        <v>消灭紫怪</v>
      </c>
      <c r="C221" s="654" t="str">
        <f>VLOOKUP(A221,BountyData!$A:$K,$H$1+3,FALSE)</f>
        <v>悬赏任务：消灭卡希克</v>
      </c>
      <c r="D221" s="595" t="str">
        <f>VLOOKUP(A221,BountyData!$A:$K,8,FALSE)</f>
        <v>A3</v>
      </c>
      <c r="E221" s="217" t="str">
        <f>VLOOKUP(A221,BountyData!$A:$K,$H$1+8,FALSE)</f>
        <v>赛斯切隆废墟</v>
      </c>
      <c r="F221" s="659" t="str">
        <f>VLOOKUP(A221,BountyData!$A:$K,2,FALSE)</f>
        <v>是</v>
      </c>
    </row>
    <row r="222" spans="1:6">
      <c r="A222" s="614" t="s">
        <v>5109</v>
      </c>
      <c r="B222" s="653" t="str">
        <f>VLOOKUP(A222,BountyData!$A:$K,3,FALSE)</f>
        <v>消灭紫怪</v>
      </c>
      <c r="C222" s="654" t="str">
        <f>VLOOKUP(A222,BountyData!$A:$K,$H$1+3,FALSE)</f>
        <v>悬赏任务：消灭塔拉</v>
      </c>
      <c r="D222" s="595" t="str">
        <f>VLOOKUP(A222,BountyData!$A:$K,8,FALSE)</f>
        <v>A3</v>
      </c>
      <c r="E222" s="217" t="str">
        <f>VLOOKUP(A222,BountyData!$A:$K,$H$1+8,FALSE)</f>
        <v>赛斯切隆废墟</v>
      </c>
      <c r="F222" s="659" t="str">
        <f>VLOOKUP(A222,BountyData!$A:$K,2,FALSE)</f>
        <v>是</v>
      </c>
    </row>
    <row r="223" spans="1:6">
      <c r="A223" s="614" t="s">
        <v>5110</v>
      </c>
      <c r="B223" s="653" t="str">
        <f>VLOOKUP(A223,BountyData!$A:$K,3,FALSE)</f>
        <v>消灭紫怪</v>
      </c>
      <c r="C223" s="654" t="str">
        <f>VLOOKUP(A223,BountyData!$A:$K,$H$1+3,FALSE)</f>
        <v>悬赏任务：消灭柯雷伊和萨马伊</v>
      </c>
      <c r="D223" s="595" t="str">
        <f>VLOOKUP(A223,BountyData!$A:$K,8,FALSE)</f>
        <v>A3</v>
      </c>
      <c r="E223" s="217" t="str">
        <f>VLOOKUP(A223,BountyData!$A:$K,$H$1+8,FALSE)</f>
        <v>赛斯切隆废墟</v>
      </c>
      <c r="F223" s="659" t="str">
        <f>VLOOKUP(A223,BountyData!$A:$K,2,FALSE)</f>
        <v>是</v>
      </c>
    </row>
    <row r="224" spans="1:6">
      <c r="A224" s="614" t="s">
        <v>5111</v>
      </c>
      <c r="B224" s="653" t="str">
        <f>VLOOKUP(A224,BountyData!$A:$K,3,FALSE)</f>
        <v>消灭紫怪</v>
      </c>
      <c r="C224" s="654" t="str">
        <f>VLOOKUP(A224,BountyData!$A:$K,$H$1+3,FALSE)</f>
        <v>悬赏任务：消灭加兰</v>
      </c>
      <c r="D224" s="595" t="str">
        <f>VLOOKUP(A224,BountyData!$A:$K,8,FALSE)</f>
        <v>A3</v>
      </c>
      <c r="E224" s="217" t="str">
        <f>VLOOKUP(A224,BountyData!$A:$K,$H$1+8,FALSE)</f>
        <v>赛斯切隆废墟</v>
      </c>
      <c r="F224" s="659" t="str">
        <f>VLOOKUP(A224,BountyData!$A:$K,2,FALSE)</f>
        <v>是</v>
      </c>
    </row>
    <row r="225" spans="1:6">
      <c r="A225" s="614" t="s">
        <v>5112</v>
      </c>
      <c r="B225" s="653" t="str">
        <f>VLOOKUP(A225,BountyData!$A:$K,3,FALSE)</f>
        <v>消灭紫怪</v>
      </c>
      <c r="C225" s="654" t="str">
        <f>VLOOKUP(A225,BountyData!$A:$K,$H$1+3,FALSE)</f>
        <v>悬赏任务：消灭阿莱图</v>
      </c>
      <c r="D225" s="595" t="str">
        <f>VLOOKUP(A225,BountyData!$A:$K,8,FALSE)</f>
        <v>A3</v>
      </c>
      <c r="E225" s="217" t="str">
        <f>VLOOKUP(A225,BountyData!$A:$K,$H$1+8,FALSE)</f>
        <v>赛斯切隆废墟</v>
      </c>
      <c r="F225" s="659" t="str">
        <f>VLOOKUP(A225,BountyData!$A:$K,2,FALSE)</f>
        <v>是</v>
      </c>
    </row>
    <row r="226" spans="1:6">
      <c r="A226" s="614" t="s">
        <v>4485</v>
      </c>
      <c r="B226" s="653" t="str">
        <f>VLOOKUP(A226,BountyData!$A:$K,3,FALSE)</f>
        <v>消灭紫怪</v>
      </c>
      <c r="C226" s="654" t="str">
        <f>VLOOKUP(A226,BountyData!$A:$K,$H$1+3,FALSE)</f>
        <v>悬赏任务：消灭烈火硫魔</v>
      </c>
      <c r="D226" s="595" t="str">
        <f>VLOOKUP(A226,BountyData!$A:$K,8,FALSE)</f>
        <v>A3</v>
      </c>
      <c r="E226" s="217" t="str">
        <f>VLOOKUP(A226,BountyData!$A:$K,$H$1+8,FALSE)</f>
        <v>天谴者之塔一层</v>
      </c>
      <c r="F226" s="659" t="str">
        <f>VLOOKUP(A226,BountyData!$A:$K,2,FALSE)</f>
        <v>是</v>
      </c>
    </row>
    <row r="227" spans="1:6">
      <c r="A227" s="614" t="s">
        <v>4622</v>
      </c>
      <c r="B227" s="653" t="str">
        <f>VLOOKUP(A227,BountyData!$A:$K,3,FALSE)</f>
        <v>消灭紫怪</v>
      </c>
      <c r="C227" s="654" t="str">
        <f>VLOOKUP(A227,BountyData!$A:$K,$H$1+3,FALSE)</f>
        <v>悬赏任务：消灭毒蟹</v>
      </c>
      <c r="D227" s="595" t="str">
        <f>VLOOKUP(A227,BountyData!$A:$K,8,FALSE)</f>
        <v>A3</v>
      </c>
      <c r="E227" s="217" t="str">
        <f>VLOOKUP(A227,BountyData!$A:$K,$H$1+8,FALSE)</f>
        <v>天谴者之塔一层</v>
      </c>
      <c r="F227" s="659" t="str">
        <f>VLOOKUP(A227,BountyData!$A:$K,2,FALSE)</f>
        <v>是</v>
      </c>
    </row>
    <row r="228" spans="1:6">
      <c r="A228" s="614" t="s">
        <v>4481</v>
      </c>
      <c r="B228" s="653" t="str">
        <f>VLOOKUP(A228,BountyData!$A:$K,3,FALSE)</f>
        <v>消灭紫怪</v>
      </c>
      <c r="C228" s="654" t="str">
        <f>VLOOKUP(A228,BountyData!$A:$K,$H$1+3,FALSE)</f>
        <v>悬赏任务：消灭恶毒的魔妮卡</v>
      </c>
      <c r="D228" s="595" t="str">
        <f>VLOOKUP(A228,BountyData!$A:$K,8,FALSE)</f>
        <v>A3</v>
      </c>
      <c r="E228" s="217" t="str">
        <f>VLOOKUP(A228,BountyData!$A:$K,$H$1+8,FALSE)</f>
        <v>天谴者之塔一层</v>
      </c>
      <c r="F228" s="659" t="str">
        <f>VLOOKUP(A228,BountyData!$A:$K,2,FALSE)</f>
        <v>是</v>
      </c>
    </row>
    <row r="229" spans="1:6">
      <c r="A229" s="614" t="s">
        <v>4626</v>
      </c>
      <c r="B229" s="653" t="str">
        <f>VLOOKUP(A229,BountyData!$A:$K,3,FALSE)</f>
        <v>消灭紫怪</v>
      </c>
      <c r="C229" s="654" t="str">
        <f>VLOOKUP(A229,BountyData!$A:$K,$H$1+3,FALSE)</f>
        <v>悬赏任务：消灭格拉什</v>
      </c>
      <c r="D229" s="595" t="str">
        <f>VLOOKUP(A229,BountyData!$A:$K,8,FALSE)</f>
        <v>A3</v>
      </c>
      <c r="E229" s="217" t="str">
        <f>VLOOKUP(A229,BountyData!$A:$K,$H$1+8,FALSE)</f>
        <v>天谴者之塔一层</v>
      </c>
      <c r="F229" s="659" t="str">
        <f>VLOOKUP(A229,BountyData!$A:$K,2,FALSE)</f>
        <v>是</v>
      </c>
    </row>
    <row r="230" spans="1:6">
      <c r="A230" s="614" t="s">
        <v>4628</v>
      </c>
      <c r="B230" s="653" t="str">
        <f>VLOOKUP(A230,BountyData!$A:$K,3,FALSE)</f>
        <v>消灭紫怪</v>
      </c>
      <c r="C230" s="654" t="str">
        <f>VLOOKUP(A230,BountyData!$A:$K,$H$1+3,FALSE)</f>
        <v>悬赏任务：消灭哈克索尔</v>
      </c>
      <c r="D230" s="595" t="str">
        <f>VLOOKUP(A230,BountyData!$A:$K,8,FALSE)</f>
        <v>A3</v>
      </c>
      <c r="E230" s="217" t="str">
        <f>VLOOKUP(A230,BountyData!$A:$K,$H$1+8,FALSE)</f>
        <v>天谴者之塔一层</v>
      </c>
      <c r="F230" s="659" t="str">
        <f>VLOOKUP(A230,BountyData!$A:$K,2,FALSE)</f>
        <v>是</v>
      </c>
    </row>
    <row r="231" spans="1:6">
      <c r="A231" s="614" t="s">
        <v>4624</v>
      </c>
      <c r="B231" s="653" t="str">
        <f>VLOOKUP(A231,BountyData!$A:$K,3,FALSE)</f>
        <v>消灭紫怪</v>
      </c>
      <c r="C231" s="654" t="str">
        <f>VLOOKUP(A231,BountyData!$A:$K,$H$1+3,FALSE)</f>
        <v>悬赏任务：消灭裂鞭</v>
      </c>
      <c r="D231" s="595" t="str">
        <f>VLOOKUP(A231,BountyData!$A:$K,8,FALSE)</f>
        <v>A3</v>
      </c>
      <c r="E231" s="217" t="str">
        <f>VLOOKUP(A231,BountyData!$A:$K,$H$1+8,FALSE)</f>
        <v>天谴者之塔一层</v>
      </c>
      <c r="F231" s="659" t="str">
        <f>VLOOKUP(A231,BountyData!$A:$K,2,FALSE)</f>
        <v>是</v>
      </c>
    </row>
    <row r="232" spans="1:6">
      <c r="A232" s="614" t="s">
        <v>4631</v>
      </c>
      <c r="B232" s="590" t="str">
        <f>VLOOKUP(A232,BountyData!$A:$K,3,FALSE)</f>
        <v>消灭首领</v>
      </c>
      <c r="C232" s="601" t="str">
        <f>VLOOKUP(A232,BountyData!$A:$K,$H$1+3,FALSE)</f>
        <v>悬赏任务：消灭阿兹莫丹</v>
      </c>
      <c r="D232" s="595" t="str">
        <f>VLOOKUP(A232,BountyData!$A:$K,8,FALSE)</f>
        <v>A3</v>
      </c>
      <c r="E232" s="217" t="str">
        <f>VLOOKUP(A232,BountyData!$A:$K,$H$1+8,FALSE)</f>
        <v>亚瑞特核心</v>
      </c>
      <c r="F232" s="659" t="str">
        <f>VLOOKUP(A232,BountyData!$A:$K,2,FALSE)</f>
        <v>是</v>
      </c>
    </row>
    <row r="233" spans="1:6">
      <c r="A233" s="614" t="s">
        <v>4483</v>
      </c>
      <c r="B233" s="653" t="str">
        <f>VLOOKUP(A233,BountyData!$A:$K,3,FALSE)</f>
        <v>消灭紫怪</v>
      </c>
      <c r="C233" s="654" t="str">
        <f>VLOOKUP(A233,BountyData!$A:$K,$H$1+3,FALSE)</f>
        <v>悬赏任务：消灭狂斩埃克格尔</v>
      </c>
      <c r="D233" s="595" t="str">
        <f>VLOOKUP(A233,BountyData!$A:$K,8,FALSE)</f>
        <v>A3</v>
      </c>
      <c r="E233" s="217" t="str">
        <f>VLOOKUP(A233,BountyData!$A:$K,$H$1+8,FALSE)</f>
        <v>亚瑞特核心</v>
      </c>
      <c r="F233" s="659" t="str">
        <f>VLOOKUP(A233,BountyData!$A:$K,2,FALSE)</f>
        <v>是</v>
      </c>
    </row>
    <row r="234" spans="1:6">
      <c r="A234" s="614" t="s">
        <v>4616</v>
      </c>
      <c r="B234" s="653" t="str">
        <f>VLOOKUP(A234,BountyData!$A:$K,3,FALSE)</f>
        <v>消灭紫怪</v>
      </c>
      <c r="C234" s="654" t="str">
        <f>VLOOKUP(A234,BountyData!$A:$K,$H$1+3,FALSE)</f>
        <v>悬赏任务：消灭好斗的葛洛格</v>
      </c>
      <c r="D234" s="595" t="str">
        <f>VLOOKUP(A234,BountyData!$A:$K,8,FALSE)</f>
        <v>A3</v>
      </c>
      <c r="E234" s="217" t="str">
        <f>VLOOKUP(A234,BountyData!$A:$K,$H$1+8,FALSE)</f>
        <v>亚瑞特核心</v>
      </c>
      <c r="F234" s="659" t="str">
        <f>VLOOKUP(A234,BountyData!$A:$K,2,FALSE)</f>
        <v>是</v>
      </c>
    </row>
    <row r="235" spans="1:6">
      <c r="A235" s="614" t="s">
        <v>4614</v>
      </c>
      <c r="B235" s="653" t="str">
        <f>VLOOKUP(A235,BountyData!$A:$K,3,FALSE)</f>
        <v>消灭紫怪</v>
      </c>
      <c r="C235" s="654" t="str">
        <f>VLOOKUP(A235,BountyData!$A:$K,$H$1+3,FALSE)</f>
        <v>悬赏任务：消灭蝎毒</v>
      </c>
      <c r="D235" s="595" t="str">
        <f>VLOOKUP(A235,BountyData!$A:$K,8,FALSE)</f>
        <v>A3</v>
      </c>
      <c r="E235" s="217" t="str">
        <f>VLOOKUP(A235,BountyData!$A:$K,$H$1+8,FALSE)</f>
        <v>亚瑞特核心</v>
      </c>
      <c r="F235" s="659" t="str">
        <f>VLOOKUP(A235,BountyData!$A:$K,2,FALSE)</f>
        <v>是</v>
      </c>
    </row>
    <row r="236" spans="1:6">
      <c r="A236" s="614" t="s">
        <v>5100</v>
      </c>
      <c r="B236" s="589" t="str">
        <f>VLOOKUP(A236,BountyData!$A:$K,3,FALSE)</f>
        <v>扫荡野营</v>
      </c>
      <c r="C236" s="600" t="str">
        <f>VLOOKUP(A236,BountyData!$A:$K,$H$1+3,FALSE)</f>
        <v>悬赏任务：恶魔之门</v>
      </c>
      <c r="D236" s="595" t="str">
        <f>VLOOKUP(A236,BountyData!$A:$K,8,FALSE)</f>
        <v>A3</v>
      </c>
      <c r="E236" s="217" t="str">
        <f>VLOOKUP(A236,BountyData!$A:$K,$H$1+8,FALSE)</f>
        <v>亚瑞特巨坑二层</v>
      </c>
      <c r="F236" s="659" t="str">
        <f>VLOOKUP(A236,BountyData!$A:$K,2,FALSE)</f>
        <v>是</v>
      </c>
    </row>
    <row r="237" spans="1:6">
      <c r="A237" s="614" t="s">
        <v>5005</v>
      </c>
      <c r="B237" s="651" t="str">
        <f>VLOOKUP(A237,BountyData!$A:$K,3,FALSE)</f>
        <v>完成事件</v>
      </c>
      <c r="C237" s="652" t="str">
        <f>VLOOKUP(A237,BountyData!$A:$K,$H$1+3,FALSE)</f>
        <v>悬赏任务：诅咒火山</v>
      </c>
      <c r="D237" s="595" t="str">
        <f>VLOOKUP(A237,BountyData!$A:$K,8,FALSE)</f>
        <v>A3</v>
      </c>
      <c r="E237" s="217" t="str">
        <f>VLOOKUP(A237,BountyData!$A:$K,$H$1+8,FALSE)</f>
        <v>亚瑞特巨坑二层</v>
      </c>
      <c r="F237" s="659" t="str">
        <f>VLOOKUP(A237,BountyData!$A:$K,2,FALSE)</f>
        <v>是</v>
      </c>
    </row>
    <row r="238" spans="1:6">
      <c r="A238" s="614" t="s">
        <v>4473</v>
      </c>
      <c r="B238" s="653" t="str">
        <f>VLOOKUP(A238,BountyData!$A:$K,3,FALSE)</f>
        <v>消灭紫怪</v>
      </c>
      <c r="C238" s="654" t="str">
        <f>VLOOKUP(A238,BountyData!$A:$K,$H$1+3,FALSE)</f>
        <v>悬赏任务：消灭长枪查鲁克</v>
      </c>
      <c r="D238" s="595" t="str">
        <f>VLOOKUP(A238,BountyData!$A:$K,8,FALSE)</f>
        <v>A3</v>
      </c>
      <c r="E238" s="217" t="str">
        <f>VLOOKUP(A238,BountyData!$A:$K,$H$1+8,FALSE)</f>
        <v>亚瑞特巨坑二层</v>
      </c>
      <c r="F238" s="659" t="str">
        <f>VLOOKUP(A238,BountyData!$A:$K,2,FALSE)</f>
        <v>是</v>
      </c>
    </row>
    <row r="239" spans="1:6">
      <c r="A239" s="614" t="s">
        <v>4475</v>
      </c>
      <c r="B239" s="653" t="str">
        <f>VLOOKUP(A239,BountyData!$A:$K,3,FALSE)</f>
        <v>消灭紫怪</v>
      </c>
      <c r="C239" s="654" t="str">
        <f>VLOOKUP(A239,BountyData!$A:$K,$H$1+3,FALSE)</f>
        <v>悬赏任务：消灭邪恶的莫刚</v>
      </c>
      <c r="D239" s="595" t="str">
        <f>VLOOKUP(A239,BountyData!$A:$K,8,FALSE)</f>
        <v>A3</v>
      </c>
      <c r="E239" s="217" t="str">
        <f>VLOOKUP(A239,BountyData!$A:$K,$H$1+8,FALSE)</f>
        <v>亚瑞特巨坑二层</v>
      </c>
      <c r="F239" s="659" t="str">
        <f>VLOOKUP(A239,BountyData!$A:$K,2,FALSE)</f>
        <v>是</v>
      </c>
    </row>
    <row r="240" spans="1:6">
      <c r="A240" s="614" t="s">
        <v>4618</v>
      </c>
      <c r="B240" s="653" t="str">
        <f>VLOOKUP(A240,BountyData!$A:$K,3,FALSE)</f>
        <v>消灭紫怪</v>
      </c>
      <c r="C240" s="654" t="str">
        <f>VLOOKUP(A240,BountyData!$A:$K,$H$1+3,FALSE)</f>
        <v>悬赏任务：消灭锯齿猛兽</v>
      </c>
      <c r="D240" s="595" t="str">
        <f>VLOOKUP(A240,BountyData!$A:$K,8,FALSE)</f>
        <v>A3</v>
      </c>
      <c r="E240" s="217" t="str">
        <f>VLOOKUP(A240,BountyData!$A:$K,$H$1+8,FALSE)</f>
        <v>亚瑞特巨坑二层</v>
      </c>
      <c r="F240" s="659" t="str">
        <f>VLOOKUP(A240,BountyData!$A:$K,2,FALSE)</f>
        <v>是</v>
      </c>
    </row>
    <row r="241" spans="1:6">
      <c r="A241" s="614" t="s">
        <v>4662</v>
      </c>
      <c r="B241" s="653" t="str">
        <f>VLOOKUP(A241,BountyData!$A:$K,3,FALSE)</f>
        <v>消灭紫怪</v>
      </c>
      <c r="C241" s="654" t="str">
        <f>VLOOKUP(A241,BountyData!$A:$K,$H$1+3,FALSE)</f>
        <v>悬赏任务：消灭大盗史尼奇</v>
      </c>
      <c r="D241" s="595" t="str">
        <f>VLOOKUP(A241,BountyData!$A:$K,8,FALSE)</f>
        <v>A3</v>
      </c>
      <c r="E241" s="217" t="str">
        <f>VLOOKUP(A241,BountyData!$A:$K,$H$1+8,FALSE)</f>
        <v>亚瑞特巨坑二层</v>
      </c>
      <c r="F241" s="659" t="str">
        <f>VLOOKUP(A241,BountyData!$A:$K,2,FALSE)</f>
        <v>是</v>
      </c>
    </row>
    <row r="242" spans="1:6">
      <c r="A242" s="614" t="s">
        <v>4620</v>
      </c>
      <c r="B242" s="653" t="str">
        <f>VLOOKUP(A242,BountyData!$A:$K,3,FALSE)</f>
        <v>消灭紫怪</v>
      </c>
      <c r="C242" s="654" t="str">
        <f>VLOOKUP(A242,BountyData!$A:$K,$H$1+3,FALSE)</f>
        <v>悬赏任务：消灭尘世之蟒</v>
      </c>
      <c r="D242" s="595" t="str">
        <f>VLOOKUP(A242,BountyData!$A:$K,8,FALSE)</f>
        <v>A3</v>
      </c>
      <c r="E242" s="217" t="str">
        <f>VLOOKUP(A242,BountyData!$A:$K,$H$1+8,FALSE)</f>
        <v>亚瑞特巨坑一层</v>
      </c>
      <c r="F242" s="659" t="str">
        <f>VLOOKUP(A242,BountyData!$A:$K,2,FALSE)</f>
        <v>是</v>
      </c>
    </row>
    <row r="243" spans="1:6">
      <c r="A243" s="614" t="s">
        <v>4687</v>
      </c>
      <c r="B243" s="653" t="str">
        <f>VLOOKUP(A243,BountyData!$A:$K,3,FALSE)</f>
        <v>消灭紫怪</v>
      </c>
      <c r="C243" s="654" t="str">
        <f>VLOOKUP(A243,BountyData!$A:$K,$H$1+3,FALSE)</f>
        <v>悬赏任务：消灭嗥牙</v>
      </c>
      <c r="D243" s="595" t="str">
        <f>VLOOKUP(A243,BountyData!$A:$K,8,FALSE)</f>
        <v>A3</v>
      </c>
      <c r="E243" s="217" t="str">
        <f>VLOOKUP(A243,BountyData!$A:$K,$H$1+8,FALSE)</f>
        <v>亚瑞特巨坑一层</v>
      </c>
      <c r="F243" s="659" t="str">
        <f>VLOOKUP(A243,BountyData!$A:$K,2,FALSE)</f>
        <v>是</v>
      </c>
    </row>
    <row r="244" spans="1:6">
      <c r="A244" s="614" t="s">
        <v>4477</v>
      </c>
      <c r="B244" s="653" t="str">
        <f>VLOOKUP(A244,BountyData!$A:$K,3,FALSE)</f>
        <v>消灭紫怪</v>
      </c>
      <c r="C244" s="654" t="str">
        <f>VLOOKUP(A244,BountyData!$A:$K,$H$1+3,FALSE)</f>
        <v>悬赏任务：消灭裂爪</v>
      </c>
      <c r="D244" s="595" t="str">
        <f>VLOOKUP(A244,BountyData!$A:$K,8,FALSE)</f>
        <v>A3</v>
      </c>
      <c r="E244" s="217" t="str">
        <f>VLOOKUP(A244,BountyData!$A:$K,$H$1+8,FALSE)</f>
        <v>亚瑞特巨坑一层</v>
      </c>
      <c r="F244" s="659" t="str">
        <f>VLOOKUP(A244,BountyData!$A:$K,2,FALSE)</f>
        <v>是</v>
      </c>
    </row>
    <row r="245" spans="1:6">
      <c r="A245" s="614" t="s">
        <v>4479</v>
      </c>
      <c r="B245" s="653" t="str">
        <f>VLOOKUP(A245,BountyData!$A:$K,3,FALSE)</f>
        <v>消灭紫怪</v>
      </c>
      <c r="C245" s="654" t="str">
        <f>VLOOKUP(A245,BountyData!$A:$K,$H$1+3,FALSE)</f>
        <v>悬赏任务：消灭剧毒的瓦力法尔</v>
      </c>
      <c r="D245" s="595" t="str">
        <f>VLOOKUP(A245,BountyData!$A:$K,8,FALSE)</f>
        <v>A3</v>
      </c>
      <c r="E245" s="217" t="str">
        <f>VLOOKUP(A245,BountyData!$A:$K,$H$1+8,FALSE)</f>
        <v>亚瑞特巨坑一层</v>
      </c>
      <c r="F245" s="659" t="str">
        <f>VLOOKUP(A245,BountyData!$A:$K,2,FALSE)</f>
        <v>是</v>
      </c>
    </row>
    <row r="246" spans="1:6">
      <c r="A246" s="614" t="s">
        <v>5003</v>
      </c>
      <c r="B246" s="651" t="str">
        <f>VLOOKUP(A246,BountyData!$A:$K,3,FALSE)</f>
        <v>完成事件</v>
      </c>
      <c r="C246" s="652" t="str">
        <f>VLOOKUP(A246,BountyData!$A:$K,$H$1+3,FALSE)</f>
        <v>悬赏任务：诅咒深渊</v>
      </c>
      <c r="D246" s="595" t="str">
        <f>VLOOKUP(A246,BountyData!$A:$K,8,FALSE)</f>
        <v>A3</v>
      </c>
      <c r="E246" s="217" t="str">
        <f>VLOOKUP(A246,BountyData!$A:$K,$H$1+8,FALSE)</f>
        <v>要塞深渊二层</v>
      </c>
      <c r="F246" s="659" t="str">
        <f>VLOOKUP(A246,BountyData!$A:$K,2,FALSE)</f>
        <v>是</v>
      </c>
    </row>
    <row r="247" spans="1:6">
      <c r="A247" s="614" t="s">
        <v>4584</v>
      </c>
      <c r="B247" s="653" t="str">
        <f>VLOOKUP(A247,BountyData!$A:$K,3,FALSE)</f>
        <v>消灭紫怪</v>
      </c>
      <c r="C247" s="654" t="str">
        <f>VLOOKUP(A247,BountyData!$A:$K,$H$1+3,FALSE)</f>
        <v>悬赏任务：消灭恐怖的阿洛伊休斯</v>
      </c>
      <c r="D247" s="595" t="str">
        <f>VLOOKUP(A247,BountyData!$A:$K,8,FALSE)</f>
        <v>A3</v>
      </c>
      <c r="E247" s="217" t="str">
        <f>VLOOKUP(A247,BountyData!$A:$K,$H$1+8,FALSE)</f>
        <v>要塞深渊二层</v>
      </c>
      <c r="F247" s="659" t="str">
        <f>VLOOKUP(A247,BountyData!$A:$K,2,FALSE)</f>
        <v>是</v>
      </c>
    </row>
    <row r="248" spans="1:6">
      <c r="A248" s="614" t="s">
        <v>4580</v>
      </c>
      <c r="B248" s="653" t="str">
        <f>VLOOKUP(A248,BountyData!$A:$K,3,FALSE)</f>
        <v>消灭紫怪</v>
      </c>
      <c r="C248" s="654" t="str">
        <f>VLOOKUP(A248,BountyData!$A:$K,$H$1+3,FALSE)</f>
        <v>悬赏任务：消灭埃克斯格雷·处决者</v>
      </c>
      <c r="D248" s="595" t="str">
        <f>VLOOKUP(A248,BountyData!$A:$K,8,FALSE)</f>
        <v>A3</v>
      </c>
      <c r="E248" s="217" t="str">
        <f>VLOOKUP(A248,BountyData!$A:$K,$H$1+8,FALSE)</f>
        <v>要塞深渊二层</v>
      </c>
      <c r="F248" s="659" t="str">
        <f>VLOOKUP(A248,BountyData!$A:$K,2,FALSE)</f>
        <v>是</v>
      </c>
    </row>
    <row r="249" spans="1:6">
      <c r="A249" s="614" t="s">
        <v>4663</v>
      </c>
      <c r="B249" s="653" t="str">
        <f>VLOOKUP(A249,BountyData!$A:$K,3,FALSE)</f>
        <v>消灭紫怪</v>
      </c>
      <c r="C249" s="654" t="str">
        <f>VLOOKUP(A249,BountyData!$A:$K,$H$1+3,FALSE)</f>
        <v>悬赏任务：消灭波霍兰</v>
      </c>
      <c r="D249" s="595" t="str">
        <f>VLOOKUP(A249,BountyData!$A:$K,8,FALSE)</f>
        <v>A3</v>
      </c>
      <c r="E249" s="217" t="str">
        <f>VLOOKUP(A249,BountyData!$A:$K,$H$1+8,FALSE)</f>
        <v>要塞深渊二层</v>
      </c>
      <c r="F249" s="659" t="str">
        <f>VLOOKUP(A249,BountyData!$A:$K,2,FALSE)</f>
        <v>是</v>
      </c>
    </row>
    <row r="250" spans="1:6">
      <c r="A250" s="614" t="s">
        <v>4437</v>
      </c>
      <c r="B250" s="653" t="str">
        <f>VLOOKUP(A250,BountyData!$A:$K,3,FALSE)</f>
        <v>消灭紫怪</v>
      </c>
      <c r="C250" s="654" t="str">
        <f>VLOOKUP(A250,BountyData!$A:$K,$H$1+3,FALSE)</f>
        <v>悬赏任务：消灭粉碎者</v>
      </c>
      <c r="D250" s="595" t="str">
        <f>VLOOKUP(A250,BountyData!$A:$K,8,FALSE)</f>
        <v>A3</v>
      </c>
      <c r="E250" s="217" t="str">
        <f>VLOOKUP(A250,BountyData!$A:$K,$H$1+8,FALSE)</f>
        <v>要塞深渊二层</v>
      </c>
      <c r="F250" s="659" t="str">
        <f>VLOOKUP(A250,BountyData!$A:$K,2,FALSE)</f>
        <v>是</v>
      </c>
    </row>
    <row r="251" spans="1:6">
      <c r="A251" s="614" t="s">
        <v>4443</v>
      </c>
      <c r="B251" s="590" t="str">
        <f>VLOOKUP(A251,BountyData!$A:$K,3,FALSE)</f>
        <v>消灭首领</v>
      </c>
      <c r="C251" s="601" t="str">
        <f>VLOOKUP(A251,BountyData!$A:$K,$H$1+3,FALSE)</f>
        <v>悬赏任务：消灭冈姆</v>
      </c>
      <c r="D251" s="595" t="str">
        <f>VLOOKUP(A251,BountyData!$A:$K,8,FALSE)</f>
        <v>A3</v>
      </c>
      <c r="E251" s="217" t="str">
        <f>VLOOKUP(A251,BountyData!$A:$K,$H$1+8,FALSE)</f>
        <v>要塞深渊三层</v>
      </c>
      <c r="F251" s="659" t="str">
        <f>VLOOKUP(A251,BountyData!$A:$K,2,FALSE)</f>
        <v>是</v>
      </c>
    </row>
    <row r="252" spans="1:6">
      <c r="A252" s="614" t="s">
        <v>4439</v>
      </c>
      <c r="B252" s="653" t="str">
        <f>VLOOKUP(A252,BountyData!$A:$K,3,FALSE)</f>
        <v>消灭紫怪</v>
      </c>
      <c r="C252" s="654" t="str">
        <f>VLOOKUP(A252,BountyData!$A:$K,$H$1+3,FALSE)</f>
        <v>悬赏任务：消灭贝拉戈·穿肉手</v>
      </c>
      <c r="D252" s="595" t="str">
        <f>VLOOKUP(A252,BountyData!$A:$K,8,FALSE)</f>
        <v>A3</v>
      </c>
      <c r="E252" s="217" t="str">
        <f>VLOOKUP(A252,BountyData!$A:$K,$H$1+8,FALSE)</f>
        <v>要塞深渊三层</v>
      </c>
      <c r="F252" s="659" t="str">
        <f>VLOOKUP(A252,BountyData!$A:$K,2,FALSE)</f>
        <v>是</v>
      </c>
    </row>
    <row r="253" spans="1:6">
      <c r="A253" s="614" t="s">
        <v>4441</v>
      </c>
      <c r="B253" s="653" t="str">
        <f>VLOOKUP(A253,BountyData!$A:$K,3,FALSE)</f>
        <v>消灭紫怪</v>
      </c>
      <c r="C253" s="654" t="str">
        <f>VLOOKUP(A253,BountyData!$A:$K,$H$1+3,FALSE)</f>
        <v>悬赏任务：消灭钢手古金</v>
      </c>
      <c r="D253" s="595" t="str">
        <f>VLOOKUP(A253,BountyData!$A:$K,8,FALSE)</f>
        <v>A3</v>
      </c>
      <c r="E253" s="217" t="str">
        <f>VLOOKUP(A253,BountyData!$A:$K,$H$1+8,FALSE)</f>
        <v>要塞深渊三层</v>
      </c>
      <c r="F253" s="659" t="str">
        <f>VLOOKUP(A253,BountyData!$A:$K,2,FALSE)</f>
        <v>是</v>
      </c>
    </row>
    <row r="254" spans="1:6">
      <c r="A254" s="614" t="s">
        <v>4586</v>
      </c>
      <c r="B254" s="653" t="str">
        <f>VLOOKUP(A254,BountyData!$A:$K,3,FALSE)</f>
        <v>消灭紫怪</v>
      </c>
      <c r="C254" s="654" t="str">
        <f>VLOOKUP(A254,BountyData!$A:$K,$H$1+3,FALSE)</f>
        <v>悬赏任务：消灭恶毒的苍白灰小鬼</v>
      </c>
      <c r="D254" s="595" t="str">
        <f>VLOOKUP(A254,BountyData!$A:$K,8,FALSE)</f>
        <v>A3</v>
      </c>
      <c r="E254" s="217" t="str">
        <f>VLOOKUP(A254,BountyData!$A:$K,$H$1+8,FALSE)</f>
        <v>要塞深渊三层</v>
      </c>
      <c r="F254" s="659" t="str">
        <f>VLOOKUP(A254,BountyData!$A:$K,2,FALSE)</f>
        <v>是</v>
      </c>
    </row>
    <row r="255" spans="1:6">
      <c r="A255" s="614" t="s">
        <v>4429</v>
      </c>
      <c r="B255" s="651" t="str">
        <f>VLOOKUP(A255,BountyData!$A:$K,3,FALSE)</f>
        <v>完成事件</v>
      </c>
      <c r="C255" s="652" t="str">
        <f>VLOOKUP(A255,BountyData!$A:$K,$H$1+3,FALSE)</f>
        <v>悬赏任务：战火铸就</v>
      </c>
      <c r="D255" s="595" t="str">
        <f>VLOOKUP(A255,BountyData!$A:$K,8,FALSE)</f>
        <v>A3</v>
      </c>
      <c r="E255" s="217" t="str">
        <f>VLOOKUP(A255,BountyData!$A:$K,$H$1+8,FALSE)</f>
        <v>要塞深渊一层</v>
      </c>
      <c r="F255" s="659" t="str">
        <f>VLOOKUP(A255,BountyData!$A:$K,2,FALSE)</f>
        <v>是</v>
      </c>
    </row>
    <row r="256" spans="1:6">
      <c r="A256" s="614" t="s">
        <v>4435</v>
      </c>
      <c r="B256" s="653" t="str">
        <f>VLOOKUP(A256,BountyData!$A:$K,3,FALSE)</f>
        <v>消灭紫怪</v>
      </c>
      <c r="C256" s="654" t="str">
        <f>VLOOKUP(A256,BountyData!$A:$K,$H$1+3,FALSE)</f>
        <v>悬赏任务：消灭戴尔队长</v>
      </c>
      <c r="D256" s="595" t="str">
        <f>VLOOKUP(A256,BountyData!$A:$K,8,FALSE)</f>
        <v>A3</v>
      </c>
      <c r="E256" s="217" t="str">
        <f>VLOOKUP(A256,BountyData!$A:$K,$H$1+8,FALSE)</f>
        <v>要塞深渊一层</v>
      </c>
      <c r="F256" s="659" t="str">
        <f>VLOOKUP(A256,BountyData!$A:$K,2,FALSE)</f>
        <v>是</v>
      </c>
    </row>
    <row r="257" spans="1:6">
      <c r="A257" s="614" t="s">
        <v>4433</v>
      </c>
      <c r="B257" s="653" t="str">
        <f>VLOOKUP(A257,BountyData!$A:$K,3,FALSE)</f>
        <v>消灭紫怪</v>
      </c>
      <c r="C257" s="654" t="str">
        <f>VLOOKUP(A257,BountyData!$A:$K,$H$1+3,FALSE)</f>
        <v>悬赏任务：消灭东恩·亚当姆斯队长</v>
      </c>
      <c r="D257" s="595" t="str">
        <f>VLOOKUP(A257,BountyData!$A:$K,8,FALSE)</f>
        <v>A3</v>
      </c>
      <c r="E257" s="217" t="str">
        <f>VLOOKUP(A257,BountyData!$A:$K,$H$1+8,FALSE)</f>
        <v>要塞深渊一层</v>
      </c>
      <c r="F257" s="659" t="str">
        <f>VLOOKUP(A257,BountyData!$A:$K,2,FALSE)</f>
        <v>是</v>
      </c>
    </row>
    <row r="258" spans="1:6">
      <c r="A258" s="614" t="s">
        <v>4582</v>
      </c>
      <c r="B258" s="653" t="str">
        <f>VLOOKUP(A258,BountyData!$A:$K,3,FALSE)</f>
        <v>消灭紫怪</v>
      </c>
      <c r="C258" s="654" t="str">
        <f>VLOOKUP(A258,BountyData!$A:$K,$H$1+3,FALSE)</f>
        <v>悬赏任务：消灭鞭舌</v>
      </c>
      <c r="D258" s="595" t="str">
        <f>VLOOKUP(A258,BountyData!$A:$K,8,FALSE)</f>
        <v>A3</v>
      </c>
      <c r="E258" s="217" t="str">
        <f>VLOOKUP(A258,BountyData!$A:$K,$H$1+8,FALSE)</f>
        <v>要塞深渊一层</v>
      </c>
      <c r="F258" s="659" t="str">
        <f>VLOOKUP(A258,BountyData!$A:$K,2,FALSE)</f>
        <v>是</v>
      </c>
    </row>
    <row r="259" spans="1:6">
      <c r="A259" s="614" t="s">
        <v>4431</v>
      </c>
      <c r="B259" s="653" t="str">
        <f>VLOOKUP(A259,BountyData!$A:$K,3,FALSE)</f>
        <v>消灭紫怪</v>
      </c>
      <c r="C259" s="654" t="str">
        <f>VLOOKUP(A259,BountyData!$A:$K,$H$1+3,FALSE)</f>
        <v>悬赏任务：消灭棘背兽</v>
      </c>
      <c r="D259" s="595" t="str">
        <f>VLOOKUP(A259,BountyData!$A:$K,8,FALSE)</f>
        <v>A3</v>
      </c>
      <c r="E259" s="217" t="str">
        <f>VLOOKUP(A259,BountyData!$A:$K,$H$1+8,FALSE)</f>
        <v>要塞深渊一层</v>
      </c>
      <c r="F259" s="659" t="str">
        <f>VLOOKUP(A259,BountyData!$A:$K,2,FALSE)</f>
        <v>是</v>
      </c>
    </row>
    <row r="260" spans="1:6">
      <c r="A260" s="614" t="s">
        <v>4594</v>
      </c>
      <c r="B260" s="588" t="str">
        <f>VLOOKUP(A260,BountyData!$A:$K,3,FALSE)</f>
        <v>怪物全清</v>
      </c>
      <c r="C260" s="599" t="str">
        <f>VLOOKUP(A260,BountyData!$A:$K,$H$1+3,FALSE)</f>
        <v>悬赏任务：清理战备物资储藏室二层</v>
      </c>
      <c r="D260" s="595" t="str">
        <f>VLOOKUP(A260,BountyData!$A:$K,8,FALSE)</f>
        <v>A3</v>
      </c>
      <c r="E260" s="217" t="str">
        <f>VLOOKUP(A260,BountyData!$A:$K,$H$1+8,FALSE)</f>
        <v>战场</v>
      </c>
      <c r="F260" s="659" t="str">
        <f>VLOOKUP(A260,BountyData!$A:$K,2,FALSE)</f>
        <v>是</v>
      </c>
    </row>
    <row r="261" spans="1:6">
      <c r="A261" s="614" t="s">
        <v>4453</v>
      </c>
      <c r="B261" s="588" t="str">
        <f>VLOOKUP(A261,BountyData!$A:$K,3,FALSE)</f>
        <v>怪物全清</v>
      </c>
      <c r="C261" s="599" t="str">
        <f>VLOOKUP(A261,BountyData!$A:$K,$H$1+3,FALSE)</f>
        <v>悬赏任务：清理克莱德的哨所</v>
      </c>
      <c r="D261" s="595" t="str">
        <f>VLOOKUP(A261,BountyData!$A:$K,8,FALSE)</f>
        <v>A3</v>
      </c>
      <c r="E261" s="217" t="str">
        <f>VLOOKUP(A261,BountyData!$A:$K,$H$1+8,FALSE)</f>
        <v>战场</v>
      </c>
      <c r="F261" s="659" t="str">
        <f>VLOOKUP(A261,BountyData!$A:$K,2,FALSE)</f>
        <v>是</v>
      </c>
    </row>
    <row r="262" spans="1:6">
      <c r="A262" s="614" t="s">
        <v>4592</v>
      </c>
      <c r="B262" s="588" t="str">
        <f>VLOOKUP(A262,BountyData!$A:$K,3,FALSE)</f>
        <v>怪物全清</v>
      </c>
      <c r="C262" s="599" t="str">
        <f>VLOOKUP(A262,BountyData!$A:$K,$H$1+3,FALSE)</f>
        <v>悬赏任务：清理坚固的地堡</v>
      </c>
      <c r="D262" s="595" t="str">
        <f>VLOOKUP(A262,BountyData!$A:$K,8,FALSE)</f>
        <v>A3</v>
      </c>
      <c r="E262" s="217" t="str">
        <f>VLOOKUP(A262,BountyData!$A:$K,$H$1+8,FALSE)</f>
        <v>战场</v>
      </c>
      <c r="F262" s="659" t="str">
        <f>VLOOKUP(A262,BountyData!$A:$K,2,FALSE)</f>
        <v>是</v>
      </c>
    </row>
    <row r="263" spans="1:6">
      <c r="A263" s="614" t="s">
        <v>4590</v>
      </c>
      <c r="B263" s="588" t="str">
        <f>VLOOKUP(A263,BountyData!$A:$K,3,FALSE)</f>
        <v>怪物全清</v>
      </c>
      <c r="C263" s="599" t="str">
        <f>VLOOKUP(A263,BountyData!$A:$K,$H$1+3,FALSE)</f>
        <v>悬赏任务：清理先锋军营房</v>
      </c>
      <c r="D263" s="595" t="str">
        <f>VLOOKUP(A263,BountyData!$A:$K,8,FALSE)</f>
        <v>A3</v>
      </c>
      <c r="E263" s="217" t="str">
        <f>VLOOKUP(A263,BountyData!$A:$K,$H$1+8,FALSE)</f>
        <v>战场</v>
      </c>
      <c r="F263" s="659" t="str">
        <f>VLOOKUP(A263,BountyData!$A:$K,2,FALSE)</f>
        <v>是</v>
      </c>
    </row>
    <row r="264" spans="1:6">
      <c r="A264" s="614" t="s">
        <v>4600</v>
      </c>
      <c r="B264" s="588" t="str">
        <f>VLOOKUP(A264,BountyData!$A:$K,3,FALSE)</f>
        <v>怪物全清</v>
      </c>
      <c r="C264" s="599" t="str">
        <f>VLOOKUP(A264,BountyData!$A:$K,$H$1+3,FALSE)</f>
        <v>悬赏任务：清理营房</v>
      </c>
      <c r="D264" s="595" t="str">
        <f>VLOOKUP(A264,BountyData!$A:$K,8,FALSE)</f>
        <v>A3</v>
      </c>
      <c r="E264" s="217" t="str">
        <f>VLOOKUP(A264,BountyData!$A:$K,$H$1+8,FALSE)</f>
        <v>战场</v>
      </c>
      <c r="F264" s="659" t="str">
        <f>VLOOKUP(A264,BountyData!$A:$K,2,FALSE)</f>
        <v>是</v>
      </c>
    </row>
    <row r="265" spans="1:6">
      <c r="A265" s="614" t="s">
        <v>4596</v>
      </c>
      <c r="B265" s="588" t="str">
        <f>VLOOKUP(A265,BountyData!$A:$K,3,FALSE)</f>
        <v>怪物全清</v>
      </c>
      <c r="C265" s="599" t="str">
        <f>VLOOKUP(A265,BountyData!$A:$K,$H$1+3,FALSE)</f>
        <v>悬赏任务：清理造间</v>
      </c>
      <c r="D265" s="595" t="str">
        <f>VLOOKUP(A265,BountyData!$A:$K,8,FALSE)</f>
        <v>A3</v>
      </c>
      <c r="E265" s="217" t="str">
        <f>VLOOKUP(A265,BountyData!$A:$K,$H$1+8,FALSE)</f>
        <v>战场</v>
      </c>
      <c r="F265" s="659" t="str">
        <f>VLOOKUP(A265,BountyData!$A:$K,2,FALSE)</f>
        <v>是</v>
      </c>
    </row>
    <row r="266" spans="1:6">
      <c r="A266" s="614" t="s">
        <v>4588</v>
      </c>
      <c r="B266" s="651" t="str">
        <f>VLOOKUP(A266,BountyData!$A:$K,3,FALSE)</f>
        <v>完成事件</v>
      </c>
      <c r="C266" s="652" t="str">
        <f>VLOOKUP(A266,BountyData!$A:$K,$H$1+3,FALSE)</f>
        <v>悬赏任务：血脉相连</v>
      </c>
      <c r="D266" s="595" t="str">
        <f>VLOOKUP(A266,BountyData!$A:$K,8,FALSE)</f>
        <v>A3</v>
      </c>
      <c r="E266" s="217" t="str">
        <f>VLOOKUP(A266,BountyData!$A:$K,$H$1+8,FALSE)</f>
        <v>战场</v>
      </c>
      <c r="F266" s="659" t="str">
        <f>VLOOKUP(A266,BountyData!$A:$K,2,FALSE)</f>
        <v>是</v>
      </c>
    </row>
    <row r="267" spans="1:6">
      <c r="A267" s="614" t="s">
        <v>4999</v>
      </c>
      <c r="B267" s="651" t="str">
        <f>VLOOKUP(A267,BountyData!$A:$K,3,FALSE)</f>
        <v>完成事件</v>
      </c>
      <c r="C267" s="652" t="str">
        <f>VLOOKUP(A267,BountyData!$A:$K,$H$1+3,FALSE)</f>
        <v>悬赏任务：诅咒要塞</v>
      </c>
      <c r="D267" s="595" t="str">
        <f>VLOOKUP(A267,BountyData!$A:$K,8,FALSE)</f>
        <v>A3</v>
      </c>
      <c r="E267" s="217" t="str">
        <f>VLOOKUP(A267,BountyData!$A:$K,$H$1+8,FALSE)</f>
        <v>战场</v>
      </c>
      <c r="F267" s="659" t="str">
        <f>VLOOKUP(A267,BountyData!$A:$K,2,FALSE)</f>
        <v>是</v>
      </c>
    </row>
    <row r="268" spans="1:6">
      <c r="A268" s="614" t="s">
        <v>4447</v>
      </c>
      <c r="B268" s="651" t="str">
        <f>VLOOKUP(A268,BountyData!$A:$K,3,FALSE)</f>
        <v>完成事件</v>
      </c>
      <c r="C268" s="652" t="str">
        <f>VLOOKUP(A268,BountyData!$A:$K,$H$1+3,FALSE)</f>
        <v>悬赏任务：力挽狂澜</v>
      </c>
      <c r="D268" s="595" t="str">
        <f>VLOOKUP(A268,BountyData!$A:$K,8,FALSE)</f>
        <v>A3</v>
      </c>
      <c r="E268" s="217" t="str">
        <f>VLOOKUP(A268,BountyData!$A:$K,$H$1+8,FALSE)</f>
        <v>战场</v>
      </c>
      <c r="F268" s="659" t="str">
        <f>VLOOKUP(A268,BountyData!$A:$K,2,FALSE)</f>
        <v>是</v>
      </c>
    </row>
    <row r="269" spans="1:6">
      <c r="A269" s="614" t="s">
        <v>4445</v>
      </c>
      <c r="B269" s="651" t="str">
        <f>VLOOKUP(A269,BountyData!$A:$K,3,FALSE)</f>
        <v>完成事件</v>
      </c>
      <c r="C269" s="652" t="str">
        <f>VLOOKUP(A269,BountyData!$A:$K,$H$1+3,FALSE)</f>
        <v>悬赏任务：等待支援</v>
      </c>
      <c r="D269" s="595" t="str">
        <f>VLOOKUP(A269,BountyData!$A:$K,8,FALSE)</f>
        <v>A3</v>
      </c>
      <c r="E269" s="217" t="str">
        <f>VLOOKUP(A269,BountyData!$A:$K,$H$1+8,FALSE)</f>
        <v>战场</v>
      </c>
      <c r="F269" s="659" t="str">
        <f>VLOOKUP(A269,BountyData!$A:$K,2,FALSE)</f>
        <v>是</v>
      </c>
    </row>
    <row r="270" spans="1:6">
      <c r="A270" s="614" t="s">
        <v>4602</v>
      </c>
      <c r="B270" s="653" t="str">
        <f>VLOOKUP(A270,BountyData!$A:$K,3,FALSE)</f>
        <v>消灭紫怪</v>
      </c>
      <c r="C270" s="654" t="str">
        <f>VLOOKUP(A270,BountyData!$A:$K,$H$1+3,FALSE)</f>
        <v>悬赏任务：消灭死亡缠须</v>
      </c>
      <c r="D270" s="595" t="str">
        <f>VLOOKUP(A270,BountyData!$A:$K,8,FALSE)</f>
        <v>A3</v>
      </c>
      <c r="E270" s="217" t="str">
        <f>VLOOKUP(A270,BountyData!$A:$K,$H$1+8,FALSE)</f>
        <v>战场</v>
      </c>
      <c r="F270" s="659" t="str">
        <f>VLOOKUP(A270,BountyData!$A:$K,2,FALSE)</f>
        <v>是</v>
      </c>
    </row>
    <row r="271" spans="1:6">
      <c r="A271" s="614" t="s">
        <v>4459</v>
      </c>
      <c r="B271" s="653" t="str">
        <f>VLOOKUP(A271,BountyData!$A:$K,3,FALSE)</f>
        <v>消灭紫怪</v>
      </c>
      <c r="C271" s="654" t="str">
        <f>VLOOKUP(A271,BountyData!$A:$K,$H$1+3,FALSE)</f>
        <v>悬赏任务：消灭争斗者格洛克</v>
      </c>
      <c r="D271" s="595" t="str">
        <f>VLOOKUP(A271,BountyData!$A:$K,8,FALSE)</f>
        <v>A3</v>
      </c>
      <c r="E271" s="217" t="str">
        <f>VLOOKUP(A271,BountyData!$A:$K,$H$1+8,FALSE)</f>
        <v>战场</v>
      </c>
      <c r="F271" s="659" t="str">
        <f>VLOOKUP(A271,BountyData!$A:$K,2,FALSE)</f>
        <v>是</v>
      </c>
    </row>
    <row r="272" spans="1:6">
      <c r="A272" s="614" t="s">
        <v>4461</v>
      </c>
      <c r="B272" s="653" t="str">
        <f>VLOOKUP(A272,BountyData!$A:$K,3,FALSE)</f>
        <v>消灭紫怪</v>
      </c>
      <c r="C272" s="654" t="str">
        <f>VLOOKUP(A272,BountyData!$A:$K,$H$1+3,FALSE)</f>
        <v>悬赏任务：消灭墨沙克·天谴之躯</v>
      </c>
      <c r="D272" s="595" t="str">
        <f>VLOOKUP(A272,BountyData!$A:$K,8,FALSE)</f>
        <v>A3</v>
      </c>
      <c r="E272" s="217" t="str">
        <f>VLOOKUP(A272,BountyData!$A:$K,$H$1+8,FALSE)</f>
        <v>战场</v>
      </c>
      <c r="F272" s="659" t="str">
        <f>VLOOKUP(A272,BountyData!$A:$K,2,FALSE)</f>
        <v>是</v>
      </c>
    </row>
    <row r="273" spans="1:6">
      <c r="A273" s="614" t="s">
        <v>6305</v>
      </c>
      <c r="B273" s="590" t="str">
        <f>VLOOKUP(A273,BountyData!$A:$K,3,FALSE)</f>
        <v>消灭首领</v>
      </c>
      <c r="C273" s="601" t="str">
        <f>VLOOKUP(A273,BountyData!$A:$K,$H$1+3,FALSE)</f>
        <v>悬赏任务：消灭辛迪娅</v>
      </c>
      <c r="D273" s="595" t="str">
        <f>VLOOKUP(A273,BountyData!$A:$K,8,FALSE)</f>
        <v>A3</v>
      </c>
      <c r="E273" s="217" t="str">
        <f>VLOOKUP(A273,BountyData!$A:$K,$H$1+8,FALSE)</f>
        <v>诅咒者之塔一层</v>
      </c>
      <c r="F273" s="659" t="str">
        <f>VLOOKUP(A273,BountyData!$A:$K,2,FALSE)</f>
        <v>是</v>
      </c>
    </row>
    <row r="274" spans="1:6">
      <c r="A274" s="614" t="s">
        <v>4612</v>
      </c>
      <c r="B274" s="653" t="str">
        <f>VLOOKUP(A274,BountyData!$A:$K,3,FALSE)</f>
        <v>消灭紫怪</v>
      </c>
      <c r="C274" s="654" t="str">
        <f>VLOOKUP(A274,BountyData!$A:$K,$H$1+3,FALSE)</f>
        <v>悬赏任务：消灭布鲁图</v>
      </c>
      <c r="D274" s="595" t="str">
        <f>VLOOKUP(A274,BountyData!$A:$K,8,FALSE)</f>
        <v>A3</v>
      </c>
      <c r="E274" s="217" t="str">
        <f>VLOOKUP(A274,BountyData!$A:$K,$H$1+8,FALSE)</f>
        <v>诅咒者之塔一层</v>
      </c>
      <c r="F274" s="659" t="str">
        <f>VLOOKUP(A274,BountyData!$A:$K,2,FALSE)</f>
        <v>是</v>
      </c>
    </row>
    <row r="275" spans="1:6">
      <c r="A275" s="614" t="s">
        <v>4469</v>
      </c>
      <c r="B275" s="653" t="str">
        <f>VLOOKUP(A275,BountyData!$A:$K,3,FALSE)</f>
        <v>消灭紫怪</v>
      </c>
      <c r="C275" s="654" t="str">
        <f>VLOOKUP(A275,BountyData!$A:$K,$H$1+3,FALSE)</f>
        <v>悬赏任务：消灭畸形的海鲁格</v>
      </c>
      <c r="D275" s="595" t="str">
        <f>VLOOKUP(A275,BountyData!$A:$K,8,FALSE)</f>
        <v>A3</v>
      </c>
      <c r="E275" s="217" t="str">
        <f>VLOOKUP(A275,BountyData!$A:$K,$H$1+8,FALSE)</f>
        <v>诅咒者之塔一层</v>
      </c>
      <c r="F275" s="659" t="str">
        <f>VLOOKUP(A275,BountyData!$A:$K,2,FALSE)</f>
        <v>是</v>
      </c>
    </row>
    <row r="276" spans="1:6">
      <c r="A276" s="614" t="s">
        <v>4471</v>
      </c>
      <c r="B276" s="653" t="str">
        <f>VLOOKUP(A276,BountyData!$A:$K,3,FALSE)</f>
        <v>消灭紫怪</v>
      </c>
      <c r="C276" s="654" t="str">
        <f>VLOOKUP(A276,BountyData!$A:$K,$H$1+3,FALSE)</f>
        <v>悬赏任务：消灭野蛮的马格鲁斯</v>
      </c>
      <c r="D276" s="595" t="str">
        <f>VLOOKUP(A276,BountyData!$A:$K,8,FALSE)</f>
        <v>A3</v>
      </c>
      <c r="E276" s="217" t="str">
        <f>VLOOKUP(A276,BountyData!$A:$K,$H$1+8,FALSE)</f>
        <v>诅咒者之塔一层</v>
      </c>
      <c r="F276" s="659" t="str">
        <f>VLOOKUP(A276,BountyData!$A:$K,2,FALSE)</f>
        <v>是</v>
      </c>
    </row>
    <row r="277" spans="1:6">
      <c r="A277" s="622" t="s">
        <v>6523</v>
      </c>
      <c r="B277" s="651" t="str">
        <f>VLOOKUP(A277,BountyData!$A:$K,3,FALSE)</f>
        <v>完成事件</v>
      </c>
      <c r="C277" s="652" t="str">
        <f>VLOOKUP(A277,BountyData!$A:$K,$H$1+3,FALSE)</f>
        <v>悬赏任务：肆虐的掘地魔</v>
      </c>
      <c r="D277" s="657" t="str">
        <f>VLOOKUP(A277,BountyData!$A:$K,8,FALSE)</f>
        <v>A345</v>
      </c>
      <c r="E277" s="291" t="str">
        <f>VLOOKUP(A277,BountyData!$A:$K,$H$1+8,FALSE)</f>
        <v>多个</v>
      </c>
      <c r="F277" s="659" t="str">
        <f>VLOOKUP(A277,BountyData!$A:$K,2,FALSE)</f>
        <v>是</v>
      </c>
    </row>
    <row r="278" spans="1:6">
      <c r="A278" s="622" t="s">
        <v>6519</v>
      </c>
      <c r="B278" s="651" t="str">
        <f>VLOOKUP(A278,BountyData!$A:$K,3,FALSE)</f>
        <v>完成事件</v>
      </c>
      <c r="C278" s="652" t="str">
        <f>VLOOKUP(A278,BountyData!$A:$K,$H$1+3,FALSE)</f>
        <v>悬赏任务：黑暗国王的遗产</v>
      </c>
      <c r="D278" s="657" t="str">
        <f>VLOOKUP(A278,BountyData!$A:$K,8,FALSE)</f>
        <v>A345</v>
      </c>
      <c r="E278" s="291" t="str">
        <f>VLOOKUP(A278,BountyData!$A:$K,$H$1+8,FALSE)</f>
        <v>多个</v>
      </c>
      <c r="F278" s="659" t="str">
        <f>VLOOKUP(A278,BountyData!$A:$K,2,FALSE)</f>
        <v>是</v>
      </c>
    </row>
    <row r="279" spans="1:6">
      <c r="A279" s="622" t="s">
        <v>6517</v>
      </c>
      <c r="B279" s="651" t="str">
        <f>VLOOKUP(A279,BountyData!$A:$K,3,FALSE)</f>
        <v>完成事件</v>
      </c>
      <c r="C279" s="652" t="str">
        <f>VLOOKUP(A279,BountyData!$A:$K,$H$1+3,FALSE)</f>
        <v>悬赏任务：被缚的萨满</v>
      </c>
      <c r="D279" s="657" t="str">
        <f>VLOOKUP(A279,BountyData!$A:$K,8,FALSE)</f>
        <v>A345</v>
      </c>
      <c r="E279" s="291" t="str">
        <f>VLOOKUP(A279,BountyData!$A:$K,$H$1+8,FALSE)</f>
        <v>多个</v>
      </c>
      <c r="F279" s="659" t="str">
        <f>VLOOKUP(A279,BountyData!$A:$K,2,FALSE)</f>
        <v>是</v>
      </c>
    </row>
    <row r="280" spans="1:6">
      <c r="A280" s="622" t="s">
        <v>6521</v>
      </c>
      <c r="B280" s="651" t="str">
        <f>VLOOKUP(A280,BountyData!$A:$K,3,FALSE)</f>
        <v>完成事件</v>
      </c>
      <c r="C280" s="652" t="str">
        <f>VLOOKUP(A280,BountyData!$A:$K,$H$1+3,FALSE)</f>
        <v>悬赏任务：诅咒圣坛</v>
      </c>
      <c r="D280" s="657" t="str">
        <f>VLOOKUP(A280,BountyData!$A:$K,8,FALSE)</f>
        <v>A345</v>
      </c>
      <c r="E280" s="291" t="str">
        <f>VLOOKUP(A280,BountyData!$A:$K,$H$1+8,FALSE)</f>
        <v>多个</v>
      </c>
      <c r="F280" s="659" t="str">
        <f>VLOOKUP(A280,BountyData!$A:$K,2,FALSE)</f>
        <v>是</v>
      </c>
    </row>
    <row r="281" spans="1:6">
      <c r="A281" s="614" t="s">
        <v>4785</v>
      </c>
      <c r="B281" s="588" t="str">
        <f>VLOOKUP(A281,BountyData!$A:$K,3,FALSE)</f>
        <v>怪物全清</v>
      </c>
      <c r="C281" s="599" t="str">
        <f>VLOOKUP(A281,BountyData!$A:$K,$H$1+3,FALSE)</f>
        <v>悬赏任务：清理地狱裂隙</v>
      </c>
      <c r="D281" s="596" t="str">
        <f>VLOOKUP(A281,BountyData!$A:$K,8,FALSE)</f>
        <v>A4</v>
      </c>
      <c r="E281" s="278" t="str">
        <f>VLOOKUP(A281,BountyData!$A:$K,$H$1+8,FALSE)</f>
        <v>地狱裂隙一层</v>
      </c>
      <c r="F281" s="659" t="str">
        <f>VLOOKUP(A281,BountyData!$A:$K,2,FALSE)</f>
        <v>是</v>
      </c>
    </row>
    <row r="282" spans="1:6">
      <c r="A282" s="614" t="s">
        <v>6338</v>
      </c>
      <c r="B282" s="653" t="str">
        <f>VLOOKUP(A282,BountyData!$A:$K,3,FALSE)</f>
        <v>消灭紫怪</v>
      </c>
      <c r="C282" s="654" t="str">
        <f>VLOOKUP(A282,BountyData!$A:$K,$H$1+3,FALSE)</f>
        <v>悬赏任务：消灭西莫瑞斯</v>
      </c>
      <c r="D282" s="596" t="str">
        <f>VLOOKUP(A282,BountyData!$A:$K,8,FALSE)</f>
        <v>A4</v>
      </c>
      <c r="E282" s="278" t="str">
        <f>VLOOKUP(A282,BountyData!$A:$K,$H$1+8,FALSE)</f>
        <v>地狱裂隙一层</v>
      </c>
      <c r="F282" s="659" t="str">
        <f>VLOOKUP(A282,BountyData!$A:$K,2,FALSE)</f>
        <v>是</v>
      </c>
    </row>
    <row r="283" spans="1:6">
      <c r="A283" s="614" t="s">
        <v>4876</v>
      </c>
      <c r="B283" s="653" t="str">
        <f>VLOOKUP(A283,BountyData!$A:$K,3,FALSE)</f>
        <v>消灭紫怪</v>
      </c>
      <c r="C283" s="654" t="str">
        <f>VLOOKUP(A283,BountyData!$A:$K,$H$1+3,FALSE)</f>
        <v>悬赏任务：消灭索洛托</v>
      </c>
      <c r="D283" s="596" t="str">
        <f>VLOOKUP(A283,BountyData!$A:$K,8,FALSE)</f>
        <v>A4</v>
      </c>
      <c r="E283" s="278" t="str">
        <f>VLOOKUP(A283,BountyData!$A:$K,$H$1+8,FALSE)</f>
        <v>地狱裂隙一层</v>
      </c>
      <c r="F283" s="659" t="str">
        <f>VLOOKUP(A283,BountyData!$A:$K,2,FALSE)</f>
        <v>是</v>
      </c>
    </row>
    <row r="284" spans="1:6">
      <c r="A284" s="614" t="s">
        <v>5051</v>
      </c>
      <c r="B284" s="653" t="str">
        <f>VLOOKUP(A284,BountyData!$A:$K,3,FALSE)</f>
        <v>消灭紫怪</v>
      </c>
      <c r="C284" s="654" t="str">
        <f>VLOOKUP(A284,BountyData!$A:$K,$H$1+3,FALSE)</f>
        <v>悬赏任务：消灭苍白骑手贝莱斯</v>
      </c>
      <c r="D284" s="596" t="str">
        <f>VLOOKUP(A284,BountyData!$A:$K,8,FALSE)</f>
        <v>A4</v>
      </c>
      <c r="E284" s="278" t="str">
        <f>VLOOKUP(A284,BountyData!$A:$K,$H$1+8,FALSE)</f>
        <v>希望花园二层</v>
      </c>
      <c r="F284" s="659" t="str">
        <f>VLOOKUP(A284,BountyData!$A:$K,2,FALSE)</f>
        <v>是</v>
      </c>
    </row>
    <row r="285" spans="1:6">
      <c r="A285" s="614" t="s">
        <v>5053</v>
      </c>
      <c r="B285" s="653" t="str">
        <f>VLOOKUP(A285,BountyData!$A:$K,3,FALSE)</f>
        <v>消灭紫怪</v>
      </c>
      <c r="C285" s="654" t="str">
        <f>VLOOKUP(A285,BountyData!$A:$K,$H$1+3,FALSE)</f>
        <v>悬赏任务：消灭灰烬恐魔</v>
      </c>
      <c r="D285" s="596" t="str">
        <f>VLOOKUP(A285,BountyData!$A:$K,8,FALSE)</f>
        <v>A4</v>
      </c>
      <c r="E285" s="278" t="str">
        <f>VLOOKUP(A285,BountyData!$A:$K,$H$1+8,FALSE)</f>
        <v>希望花园二层</v>
      </c>
      <c r="F285" s="659" t="str">
        <f>VLOOKUP(A285,BountyData!$A:$K,2,FALSE)</f>
        <v>是</v>
      </c>
    </row>
    <row r="286" spans="1:6">
      <c r="A286" s="614" t="s">
        <v>5055</v>
      </c>
      <c r="B286" s="653" t="str">
        <f>VLOOKUP(A286,BountyData!$A:$K,3,FALSE)</f>
        <v>消灭紫怪</v>
      </c>
      <c r="C286" s="654" t="str">
        <f>VLOOKUP(A286,BountyData!$A:$K,$H$1+3,FALSE)</f>
        <v>悬赏任务：消灭憎天</v>
      </c>
      <c r="D286" s="596" t="str">
        <f>VLOOKUP(A286,BountyData!$A:$K,8,FALSE)</f>
        <v>A4</v>
      </c>
      <c r="E286" s="278" t="str">
        <f>VLOOKUP(A286,BountyData!$A:$K,$H$1+8,FALSE)</f>
        <v>希望花园二层</v>
      </c>
      <c r="F286" s="659" t="str">
        <f>VLOOKUP(A286,BountyData!$A:$K,2,FALSE)</f>
        <v>是</v>
      </c>
    </row>
    <row r="287" spans="1:6">
      <c r="A287" s="614" t="s">
        <v>5049</v>
      </c>
      <c r="B287" s="653" t="str">
        <f>VLOOKUP(A287,BountyData!$A:$K,3,FALSE)</f>
        <v>消灭紫怪</v>
      </c>
      <c r="C287" s="654" t="str">
        <f>VLOOKUP(A287,BountyData!$A:$K,$H$1+3,FALSE)</f>
        <v>悬赏任务：消灭埃拉</v>
      </c>
      <c r="D287" s="596" t="str">
        <f>VLOOKUP(A287,BountyData!$A:$K,8,FALSE)</f>
        <v>A4</v>
      </c>
      <c r="E287" s="278" t="str">
        <f>VLOOKUP(A287,BountyData!$A:$K,$H$1+8,FALSE)</f>
        <v>希望花园二层</v>
      </c>
      <c r="F287" s="659" t="str">
        <f>VLOOKUP(A287,BountyData!$A:$K,2,FALSE)</f>
        <v>是</v>
      </c>
    </row>
    <row r="288" spans="1:6">
      <c r="A288" s="614" t="s">
        <v>4659</v>
      </c>
      <c r="B288" s="653" t="str">
        <f>VLOOKUP(A288,BountyData!$A:$K,3,FALSE)</f>
        <v>消灭紫怪</v>
      </c>
      <c r="C288" s="654" t="str">
        <f>VLOOKUP(A288,BountyData!$A:$K,$H$1+3,FALSE)</f>
        <v>悬赏任务：消灭内卡亚特·钥匙守护者</v>
      </c>
      <c r="D288" s="596" t="str">
        <f>VLOOKUP(A288,BountyData!$A:$K,8,FALSE)</f>
        <v>A4</v>
      </c>
      <c r="E288" s="278" t="str">
        <f>VLOOKUP(A288,BountyData!$A:$K,$H$1+8,FALSE)</f>
        <v>希望花园二层</v>
      </c>
      <c r="F288" s="602" t="str">
        <f>VLOOKUP(A288,BountyData!$A:$K,2,FALSE)</f>
        <v>2.4尚未启用</v>
      </c>
    </row>
    <row r="289" spans="1:6">
      <c r="A289" s="614" t="s">
        <v>5097</v>
      </c>
      <c r="B289" s="589" t="str">
        <f>VLOOKUP(A289,BountyData!$A:$K,3,FALSE)</f>
        <v>扫荡野营</v>
      </c>
      <c r="C289" s="600" t="str">
        <f>VLOOKUP(A289,BountyData!$A:$K,$H$1+3,FALSE)</f>
        <v>悬赏任务：痛苦的天使</v>
      </c>
      <c r="D289" s="596" t="str">
        <f>VLOOKUP(A289,BountyData!$A:$K,8,FALSE)</f>
        <v>A4</v>
      </c>
      <c r="E289" s="278" t="str">
        <f>VLOOKUP(A289,BountyData!$A:$K,$H$1+8,FALSE)</f>
        <v>希望花园三层</v>
      </c>
      <c r="F289" s="659" t="str">
        <f>VLOOKUP(A289,BountyData!$A:$K,2,FALSE)</f>
        <v>是</v>
      </c>
    </row>
    <row r="290" spans="1:6">
      <c r="A290" s="614" t="s">
        <v>6346</v>
      </c>
      <c r="B290" s="651" t="str">
        <f>VLOOKUP(A290,BountyData!$A:$K,3,FALSE)</f>
        <v>完成事件</v>
      </c>
      <c r="C290" s="652" t="str">
        <f>VLOOKUP(A290,BountyData!$A:$K,$H$1+3,FALSE)</f>
        <v>悬赏任务：地狱饲主巢穴</v>
      </c>
      <c r="D290" s="596" t="str">
        <f>VLOOKUP(A290,BountyData!$A:$K,8,FALSE)</f>
        <v>A4</v>
      </c>
      <c r="E290" s="278" t="str">
        <f>VLOOKUP(A290,BountyData!$A:$K,$H$1+8,FALSE)</f>
        <v>希望花园三层</v>
      </c>
      <c r="F290" s="659" t="str">
        <f>VLOOKUP(A290,BountyData!$A:$K,2,FALSE)</f>
        <v>是</v>
      </c>
    </row>
    <row r="291" spans="1:6">
      <c r="A291" s="614" t="s">
        <v>5059</v>
      </c>
      <c r="B291" s="651" t="str">
        <f>VLOOKUP(A291,BountyData!$A:$K,3,FALSE)</f>
        <v>完成事件</v>
      </c>
      <c r="C291" s="652" t="str">
        <f>VLOOKUP(A291,BountyData!$A:$K,$H$1+3,FALSE)</f>
        <v>悬赏任务：当心脚下</v>
      </c>
      <c r="D291" s="596" t="str">
        <f>VLOOKUP(A291,BountyData!$A:$K,8,FALSE)</f>
        <v>A4</v>
      </c>
      <c r="E291" s="278" t="str">
        <f>VLOOKUP(A291,BountyData!$A:$K,$H$1+8,FALSE)</f>
        <v>希望花园三层</v>
      </c>
      <c r="F291" s="659" t="str">
        <f>VLOOKUP(A291,BountyData!$A:$K,2,FALSE)</f>
        <v>是</v>
      </c>
    </row>
    <row r="292" spans="1:6">
      <c r="A292" s="614" t="s">
        <v>5061</v>
      </c>
      <c r="B292" s="651" t="str">
        <f>VLOOKUP(A292,BountyData!$A:$K,3,FALSE)</f>
        <v>完成事件</v>
      </c>
      <c r="C292" s="652" t="str">
        <f>VLOOKUP(A292,BountyData!$A:$K,$H$1+3,FALSE)</f>
        <v>悬赏任务：诅咒讲台</v>
      </c>
      <c r="D292" s="596" t="str">
        <f>VLOOKUP(A292,BountyData!$A:$K,8,FALSE)</f>
        <v>A4</v>
      </c>
      <c r="E292" s="278" t="str">
        <f>VLOOKUP(A292,BountyData!$A:$K,$H$1+8,FALSE)</f>
        <v>希望花园三层</v>
      </c>
      <c r="F292" s="659" t="str">
        <f>VLOOKUP(A292,BountyData!$A:$K,2,FALSE)</f>
        <v>是</v>
      </c>
    </row>
    <row r="293" spans="1:6">
      <c r="A293" s="614" t="s">
        <v>5126</v>
      </c>
      <c r="B293" s="651" t="str">
        <f>VLOOKUP(A293,BountyData!$A:$K,3,FALSE)</f>
        <v>完成事件</v>
      </c>
      <c r="C293" s="652" t="str">
        <f>VLOOKUP(A293,BountyData!$A:$K,$H$1+3,FALSE)</f>
        <v>悬赏任务：虫标</v>
      </c>
      <c r="D293" s="596" t="str">
        <f>VLOOKUP(A293,BountyData!$A:$K,8,FALSE)</f>
        <v>A4</v>
      </c>
      <c r="E293" s="278" t="str">
        <f>VLOOKUP(A293,BountyData!$A:$K,$H$1+8,FALSE)</f>
        <v>希望花园三层</v>
      </c>
      <c r="F293" s="659" t="str">
        <f>VLOOKUP(A293,BountyData!$A:$K,2,FALSE)</f>
        <v>是</v>
      </c>
    </row>
    <row r="294" spans="1:6">
      <c r="A294" s="614" t="s">
        <v>4690</v>
      </c>
      <c r="B294" s="653" t="str">
        <f>VLOOKUP(A294,BountyData!$A:$K,3,FALSE)</f>
        <v>消灭紫怪</v>
      </c>
      <c r="C294" s="654" t="str">
        <f>VLOOKUP(A294,BountyData!$A:$K,$H$1+3,FALSE)</f>
        <v>悬赏任务：消灭痛楚化身</v>
      </c>
      <c r="D294" s="596" t="str">
        <f>VLOOKUP(A294,BountyData!$A:$K,8,FALSE)</f>
        <v>A4</v>
      </c>
      <c r="E294" s="278" t="str">
        <f>VLOOKUP(A294,BountyData!$A:$K,$H$1+8,FALSE)</f>
        <v>希望花园三层</v>
      </c>
      <c r="F294" s="659" t="str">
        <f>VLOOKUP(A294,BountyData!$A:$K,2,FALSE)</f>
        <v>是</v>
      </c>
    </row>
    <row r="295" spans="1:6">
      <c r="A295" s="614" t="s">
        <v>4692</v>
      </c>
      <c r="B295" s="653" t="str">
        <f>VLOOKUP(A295,BountyData!$A:$K,3,FALSE)</f>
        <v>消灭紫怪</v>
      </c>
      <c r="C295" s="654" t="str">
        <f>VLOOKUP(A295,BountyData!$A:$K,$H$1+3,FALSE)</f>
        <v>悬赏任务：消灭苦痛化身</v>
      </c>
      <c r="D295" s="596" t="str">
        <f>VLOOKUP(A295,BountyData!$A:$K,8,FALSE)</f>
        <v>A4</v>
      </c>
      <c r="E295" s="278" t="str">
        <f>VLOOKUP(A295,BountyData!$A:$K,$H$1+8,FALSE)</f>
        <v>希望花园三层</v>
      </c>
      <c r="F295" s="659" t="str">
        <f>VLOOKUP(A295,BountyData!$A:$K,2,FALSE)</f>
        <v>是</v>
      </c>
    </row>
    <row r="296" spans="1:6">
      <c r="A296" s="614" t="s">
        <v>4635</v>
      </c>
      <c r="B296" s="653" t="str">
        <f>VLOOKUP(A296,BountyData!$A:$K,3,FALSE)</f>
        <v>消灭紫怪</v>
      </c>
      <c r="C296" s="654" t="str">
        <f>VLOOKUP(A296,BountyData!$A:$K,$H$1+3,FALSE)</f>
        <v>悬赏任务：消灭考安</v>
      </c>
      <c r="D296" s="596" t="str">
        <f>VLOOKUP(A296,BountyData!$A:$K,8,FALSE)</f>
        <v>A4</v>
      </c>
      <c r="E296" s="278" t="str">
        <f>VLOOKUP(A296,BountyData!$A:$K,$H$1+8,FALSE)</f>
        <v>希望花园三层</v>
      </c>
      <c r="F296" s="659" t="str">
        <f>VLOOKUP(A296,BountyData!$A:$K,2,FALSE)</f>
        <v>是</v>
      </c>
    </row>
    <row r="297" spans="1:6">
      <c r="A297" s="614" t="s">
        <v>4633</v>
      </c>
      <c r="B297" s="653" t="str">
        <f>VLOOKUP(A297,BountyData!$A:$K,3,FALSE)</f>
        <v>消灭紫怪</v>
      </c>
      <c r="C297" s="654" t="str">
        <f>VLOOKUP(A297,BountyData!$A:$K,$H$1+3,FALSE)</f>
        <v>悬赏任务：消灭奥塔什</v>
      </c>
      <c r="D297" s="596" t="str">
        <f>VLOOKUP(A297,BountyData!$A:$K,8,FALSE)</f>
        <v>A4</v>
      </c>
      <c r="E297" s="278" t="str">
        <f>VLOOKUP(A297,BountyData!$A:$K,$H$1+8,FALSE)</f>
        <v>希望花园三层</v>
      </c>
      <c r="F297" s="659" t="str">
        <f>VLOOKUP(A297,BountyData!$A:$K,2,FALSE)</f>
        <v>是</v>
      </c>
    </row>
    <row r="298" spans="1:6">
      <c r="A298" s="614" t="s">
        <v>5009</v>
      </c>
      <c r="B298" s="651" t="str">
        <f>VLOOKUP(A298,BountyData!$A:$K,3,FALSE)</f>
        <v>完成事件</v>
      </c>
      <c r="C298" s="652" t="str">
        <f>VLOOKUP(A298,BountyData!$A:$K,$H$1+3,FALSE)</f>
        <v>悬赏任务：诅咒高台</v>
      </c>
      <c r="D298" s="596" t="str">
        <f>VLOOKUP(A298,BountyData!$A:$K,8,FALSE)</f>
        <v>A4</v>
      </c>
      <c r="E298" s="278" t="str">
        <f>VLOOKUP(A298,BountyData!$A:$K,$H$1+8,FALSE)</f>
        <v>希望花园一层</v>
      </c>
      <c r="F298" s="659" t="str">
        <f>VLOOKUP(A298,BountyData!$A:$K,2,FALSE)</f>
        <v>是</v>
      </c>
    </row>
    <row r="299" spans="1:6">
      <c r="A299" s="614" t="s">
        <v>4643</v>
      </c>
      <c r="B299" s="590" t="str">
        <f>VLOOKUP(A299,BountyData!$A:$K,3,FALSE)</f>
        <v>消灭首领</v>
      </c>
      <c r="C299" s="601" t="str">
        <f>VLOOKUP(A299,BountyData!$A:$K,$H$1+3,FALSE)</f>
        <v>悬赏任务：消灭拉卡诺斯</v>
      </c>
      <c r="D299" s="596" t="str">
        <f>VLOOKUP(A299,BountyData!$A:$K,8,FALSE)</f>
        <v>A4</v>
      </c>
      <c r="E299" s="278" t="str">
        <f>VLOOKUP(A299,BountyData!$A:$K,$H$1+8,FALSE)</f>
        <v>希望花园一层</v>
      </c>
      <c r="F299" s="659" t="str">
        <f>VLOOKUP(A299,BountyData!$A:$K,2,FALSE)</f>
        <v>是</v>
      </c>
    </row>
    <row r="300" spans="1:6">
      <c r="A300" s="614" t="s">
        <v>4694</v>
      </c>
      <c r="B300" s="653" t="str">
        <f>VLOOKUP(A300,BountyData!$A:$K,3,FALSE)</f>
        <v>消灭紫怪</v>
      </c>
      <c r="C300" s="654" t="str">
        <f>VLOOKUP(A300,BountyData!$A:$K,$H$1+3,FALSE)</f>
        <v>悬赏任务：消灭毁灭化身</v>
      </c>
      <c r="D300" s="596" t="str">
        <f>VLOOKUP(A300,BountyData!$A:$K,8,FALSE)</f>
        <v>A4</v>
      </c>
      <c r="E300" s="278" t="str">
        <f>VLOOKUP(A300,BountyData!$A:$K,$H$1+8,FALSE)</f>
        <v>希望花园一层</v>
      </c>
      <c r="F300" s="659" t="str">
        <f>VLOOKUP(A300,BountyData!$A:$K,2,FALSE)</f>
        <v>是</v>
      </c>
    </row>
    <row r="301" spans="1:6">
      <c r="A301" s="614" t="s">
        <v>4639</v>
      </c>
      <c r="B301" s="653" t="str">
        <f>VLOOKUP(A301,BountyData!$A:$K,3,FALSE)</f>
        <v>消灭紫怪</v>
      </c>
      <c r="C301" s="654" t="str">
        <f>VLOOKUP(A301,BountyData!$A:$K,$H$1+3,FALSE)</f>
        <v>悬赏任务：消灭卡图恩</v>
      </c>
      <c r="D301" s="596" t="str">
        <f>VLOOKUP(A301,BountyData!$A:$K,8,FALSE)</f>
        <v>A4</v>
      </c>
      <c r="E301" s="278" t="str">
        <f>VLOOKUP(A301,BountyData!$A:$K,$H$1+8,FALSE)</f>
        <v>希望花园一层</v>
      </c>
      <c r="F301" s="659" t="str">
        <f>VLOOKUP(A301,BountyData!$A:$K,2,FALSE)</f>
        <v>是</v>
      </c>
    </row>
    <row r="302" spans="1:6">
      <c r="A302" s="614" t="s">
        <v>4637</v>
      </c>
      <c r="B302" s="653" t="str">
        <f>VLOOKUP(A302,BountyData!$A:$K,3,FALSE)</f>
        <v>消灭紫怪</v>
      </c>
      <c r="C302" s="654" t="str">
        <f>VLOOKUP(A302,BountyData!$A:$K,$H$1+3,FALSE)</f>
        <v>悬赏任务：消灭燃炬者</v>
      </c>
      <c r="D302" s="596" t="str">
        <f>VLOOKUP(A302,BountyData!$A:$K,8,FALSE)</f>
        <v>A4</v>
      </c>
      <c r="E302" s="278" t="str">
        <f>VLOOKUP(A302,BountyData!$A:$K,$H$1+8,FALSE)</f>
        <v>希望花园一层</v>
      </c>
      <c r="F302" s="659" t="str">
        <f>VLOOKUP(A302,BountyData!$A:$K,2,FALSE)</f>
        <v>是</v>
      </c>
    </row>
    <row r="303" spans="1:6">
      <c r="A303" s="614" t="s">
        <v>4641</v>
      </c>
      <c r="B303" s="653" t="str">
        <f>VLOOKUP(A303,BountyData!$A:$K,3,FALSE)</f>
        <v>消灭紫怪</v>
      </c>
      <c r="C303" s="654" t="str">
        <f>VLOOKUP(A303,BountyData!$A:$K,$H$1+3,FALSE)</f>
        <v>悬赏任务：消灭凶残的贝桑</v>
      </c>
      <c r="D303" s="596" t="str">
        <f>VLOOKUP(A303,BountyData!$A:$K,8,FALSE)</f>
        <v>A4</v>
      </c>
      <c r="E303" s="278" t="str">
        <f>VLOOKUP(A303,BountyData!$A:$K,$H$1+8,FALSE)</f>
        <v>希望花园一层</v>
      </c>
      <c r="F303" s="659" t="str">
        <f>VLOOKUP(A303,BountyData!$A:$K,2,FALSE)</f>
        <v>是</v>
      </c>
    </row>
    <row r="304" spans="1:6">
      <c r="A304" s="614" t="s">
        <v>5007</v>
      </c>
      <c r="B304" s="651" t="str">
        <f>VLOOKUP(A304,BountyData!$A:$K,3,FALSE)</f>
        <v>完成事件</v>
      </c>
      <c r="C304" s="652" t="str">
        <f>VLOOKUP(A304,BountyData!$A:$K,$H$1+3,FALSE)</f>
        <v>悬赏任务：诅咒教堂</v>
      </c>
      <c r="D304" s="596" t="str">
        <f>VLOOKUP(A304,BountyData!$A:$K,8,FALSE)</f>
        <v>A4</v>
      </c>
      <c r="E304" s="278" t="str">
        <f>VLOOKUP(A304,BountyData!$A:$K,$H$1+8,FALSE)</f>
        <v>银色高塔二层</v>
      </c>
      <c r="F304" s="659" t="str">
        <f>VLOOKUP(A304,BountyData!$A:$K,2,FALSE)</f>
        <v>是</v>
      </c>
    </row>
    <row r="305" spans="1:6">
      <c r="A305" s="614" t="s">
        <v>4660</v>
      </c>
      <c r="B305" s="590" t="str">
        <f>VLOOKUP(A305,BountyData!$A:$K,3,FALSE)</f>
        <v>消灭首领</v>
      </c>
      <c r="C305" s="601" t="str">
        <f>VLOOKUP(A305,BountyData!$A:$K,$H$1+3,FALSE)</f>
        <v>悬赏任务：消灭迪亚波罗</v>
      </c>
      <c r="D305" s="596" t="str">
        <f>VLOOKUP(A305,BountyData!$A:$K,8,FALSE)</f>
        <v>A4</v>
      </c>
      <c r="E305" s="278" t="str">
        <f>VLOOKUP(A305,BountyData!$A:$K,$H$1+8,FALSE)</f>
        <v>银色高塔二层</v>
      </c>
      <c r="F305" s="659" t="str">
        <f>VLOOKUP(A305,BountyData!$A:$K,2,FALSE)</f>
        <v>是</v>
      </c>
    </row>
    <row r="306" spans="1:6">
      <c r="A306" s="614" t="s">
        <v>4700</v>
      </c>
      <c r="B306" s="653" t="str">
        <f>VLOOKUP(A306,BountyData!$A:$K,3,FALSE)</f>
        <v>消灭紫怪</v>
      </c>
      <c r="C306" s="654" t="str">
        <f>VLOOKUP(A306,BountyData!$A:$K,$H$1+3,FALSE)</f>
        <v>悬赏任务：消灭罪恶化身</v>
      </c>
      <c r="D306" s="596" t="str">
        <f>VLOOKUP(A306,BountyData!$A:$K,8,FALSE)</f>
        <v>A4</v>
      </c>
      <c r="E306" s="278" t="str">
        <f>VLOOKUP(A306,BountyData!$A:$K,$H$1+8,FALSE)</f>
        <v>银色高塔二层</v>
      </c>
      <c r="F306" s="659" t="str">
        <f>VLOOKUP(A306,BountyData!$A:$K,2,FALSE)</f>
        <v>是</v>
      </c>
    </row>
    <row r="307" spans="1:6">
      <c r="A307" s="614" t="s">
        <v>4702</v>
      </c>
      <c r="B307" s="653" t="str">
        <f>VLOOKUP(A307,BountyData!$A:$K,3,FALSE)</f>
        <v>消灭紫怪</v>
      </c>
      <c r="C307" s="654" t="str">
        <f>VLOOKUP(A307,BountyData!$A:$K,$H$1+3,FALSE)</f>
        <v>悬赏任务：消灭恐惧化身</v>
      </c>
      <c r="D307" s="596" t="str">
        <f>VLOOKUP(A307,BountyData!$A:$K,8,FALSE)</f>
        <v>A4</v>
      </c>
      <c r="E307" s="278" t="str">
        <f>VLOOKUP(A307,BountyData!$A:$K,$H$1+8,FALSE)</f>
        <v>银色高塔二层</v>
      </c>
      <c r="F307" s="659" t="str">
        <f>VLOOKUP(A307,BountyData!$A:$K,2,FALSE)</f>
        <v>是</v>
      </c>
    </row>
    <row r="308" spans="1:6">
      <c r="A308" s="614" t="s">
        <v>4647</v>
      </c>
      <c r="B308" s="653" t="str">
        <f>VLOOKUP(A308,BountyData!$A:$K,3,FALSE)</f>
        <v>消灭紫怪</v>
      </c>
      <c r="C308" s="654" t="str">
        <f>VLOOKUP(A308,BountyData!$A:$K,$H$1+3,FALSE)</f>
        <v>悬赏任务：消灭无魂恶夜</v>
      </c>
      <c r="D308" s="596" t="str">
        <f>VLOOKUP(A308,BountyData!$A:$K,8,FALSE)</f>
        <v>A4</v>
      </c>
      <c r="E308" s="278" t="str">
        <f>VLOOKUP(A308,BountyData!$A:$K,$H$1+8,FALSE)</f>
        <v>银色高塔二层</v>
      </c>
      <c r="F308" s="659" t="str">
        <f>VLOOKUP(A308,BountyData!$A:$K,2,FALSE)</f>
        <v>是</v>
      </c>
    </row>
    <row r="309" spans="1:6">
      <c r="A309" s="614" t="s">
        <v>4645</v>
      </c>
      <c r="B309" s="653" t="str">
        <f>VLOOKUP(A309,BountyData!$A:$K,3,FALSE)</f>
        <v>消灭紫怪</v>
      </c>
      <c r="C309" s="654" t="str">
        <f>VLOOKUP(A309,BountyData!$A:$K,$H$1+3,FALSE)</f>
        <v>悬赏任务：消灭霍雷斯</v>
      </c>
      <c r="D309" s="596" t="str">
        <f>VLOOKUP(A309,BountyData!$A:$K,8,FALSE)</f>
        <v>A4</v>
      </c>
      <c r="E309" s="278" t="str">
        <f>VLOOKUP(A309,BountyData!$A:$K,$H$1+8,FALSE)</f>
        <v>银色高塔二层</v>
      </c>
      <c r="F309" s="659" t="str">
        <f>VLOOKUP(A309,BountyData!$A:$K,2,FALSE)</f>
        <v>是</v>
      </c>
    </row>
    <row r="310" spans="1:6">
      <c r="A310" s="614" t="s">
        <v>4657</v>
      </c>
      <c r="B310" s="653" t="str">
        <f>VLOOKUP(A310,BountyData!$A:$K,3,FALSE)</f>
        <v>消灭紫怪</v>
      </c>
      <c r="C310" s="654" t="str">
        <f>VLOOKUP(A310,BountyData!$A:$K,$H$1+3,FALSE)</f>
        <v>悬赏任务：消灭拉乌·卡耶</v>
      </c>
      <c r="D310" s="596" t="str">
        <f>VLOOKUP(A310,BountyData!$A:$K,8,FALSE)</f>
        <v>A4</v>
      </c>
      <c r="E310" s="278" t="str">
        <f>VLOOKUP(A310,BountyData!$A:$K,$H$1+8,FALSE)</f>
        <v>银色高塔二层</v>
      </c>
      <c r="F310" s="659" t="str">
        <f>VLOOKUP(A310,BountyData!$A:$K,2,FALSE)</f>
        <v>是</v>
      </c>
    </row>
    <row r="311" spans="1:6">
      <c r="A311" s="614" t="s">
        <v>4649</v>
      </c>
      <c r="B311" s="653" t="str">
        <f>VLOOKUP(A311,BountyData!$A:$K,3,FALSE)</f>
        <v>消灭紫怪</v>
      </c>
      <c r="C311" s="654" t="str">
        <f>VLOOKUP(A311,BountyData!$A:$K,$H$1+3,FALSE)</f>
        <v>悬赏任务：消灭萨奥·索</v>
      </c>
      <c r="D311" s="596" t="str">
        <f>VLOOKUP(A311,BountyData!$A:$K,8,FALSE)</f>
        <v>A4</v>
      </c>
      <c r="E311" s="278" t="str">
        <f>VLOOKUP(A311,BountyData!$A:$K,$H$1+8,FALSE)</f>
        <v>银色高塔二层</v>
      </c>
      <c r="F311" s="659" t="str">
        <f>VLOOKUP(A311,BountyData!$A:$K,2,FALSE)</f>
        <v>是</v>
      </c>
    </row>
    <row r="312" spans="1:6">
      <c r="A312" s="614" t="s">
        <v>5104</v>
      </c>
      <c r="B312" s="589" t="str">
        <f>VLOOKUP(A312,BountyData!$A:$K,3,FALSE)</f>
        <v>扫荡野营</v>
      </c>
      <c r="C312" s="600" t="str">
        <f>VLOOKUP(A312,BountyData!$A:$K,$H$1+3,FALSE)</f>
        <v>悬赏任务：地狱传送门</v>
      </c>
      <c r="D312" s="596" t="str">
        <f>VLOOKUP(A312,BountyData!$A:$K,8,FALSE)</f>
        <v>A4</v>
      </c>
      <c r="E312" s="278" t="str">
        <f>VLOOKUP(A312,BountyData!$A:$K,$H$1+8,FALSE)</f>
        <v>银色高塔一层</v>
      </c>
      <c r="F312" s="659" t="str">
        <f>VLOOKUP(A312,BountyData!$A:$K,2,FALSE)</f>
        <v>是</v>
      </c>
    </row>
    <row r="313" spans="1:6">
      <c r="A313" s="614" t="s">
        <v>6355</v>
      </c>
      <c r="B313" s="590" t="str">
        <f>VLOOKUP(A313,BountyData!$A:$K,3,FALSE)</f>
        <v>消灭首领</v>
      </c>
      <c r="C313" s="601" t="str">
        <f>VLOOKUP(A313,BountyData!$A:$K,$H$1+3,FALSE)</f>
        <v>悬赏任务：消灭衣卒尔</v>
      </c>
      <c r="D313" s="596" t="str">
        <f>VLOOKUP(A313,BountyData!$A:$K,8,FALSE)</f>
        <v>A4</v>
      </c>
      <c r="E313" s="278" t="str">
        <f>VLOOKUP(A313,BountyData!$A:$K,$H$1+8,FALSE)</f>
        <v>银色高塔一层</v>
      </c>
      <c r="F313" s="659" t="str">
        <f>VLOOKUP(A313,BountyData!$A:$K,2,FALSE)</f>
        <v>是</v>
      </c>
    </row>
    <row r="314" spans="1:6">
      <c r="A314" s="614" t="s">
        <v>4696</v>
      </c>
      <c r="B314" s="653" t="str">
        <f>VLOOKUP(A314,BountyData!$A:$K,3,FALSE)</f>
        <v>消灭紫怪</v>
      </c>
      <c r="C314" s="654" t="str">
        <f>VLOOKUP(A314,BountyData!$A:$K,$H$1+3,FALSE)</f>
        <v>悬赏任务：消灭憎恨化身</v>
      </c>
      <c r="D314" s="596" t="str">
        <f>VLOOKUP(A314,BountyData!$A:$K,8,FALSE)</f>
        <v>A4</v>
      </c>
      <c r="E314" s="278" t="str">
        <f>VLOOKUP(A314,BountyData!$A:$K,$H$1+8,FALSE)</f>
        <v>银色高塔一层</v>
      </c>
      <c r="F314" s="659" t="str">
        <f>VLOOKUP(A314,BountyData!$A:$K,2,FALSE)</f>
        <v>是</v>
      </c>
    </row>
    <row r="315" spans="1:6">
      <c r="A315" s="614" t="s">
        <v>4698</v>
      </c>
      <c r="B315" s="653" t="str">
        <f>VLOOKUP(A315,BountyData!$A:$K,3,FALSE)</f>
        <v>消灭紫怪</v>
      </c>
      <c r="C315" s="654" t="str">
        <f>VLOOKUP(A315,BountyData!$A:$K,$H$1+3,FALSE)</f>
        <v>悬赏任务：消灭谎言化身</v>
      </c>
      <c r="D315" s="596" t="str">
        <f>VLOOKUP(A315,BountyData!$A:$K,8,FALSE)</f>
        <v>A4</v>
      </c>
      <c r="E315" s="278" t="str">
        <f>VLOOKUP(A315,BountyData!$A:$K,$H$1+8,FALSE)</f>
        <v>银色高塔一层</v>
      </c>
      <c r="F315" s="659" t="str">
        <f>VLOOKUP(A315,BountyData!$A:$K,2,FALSE)</f>
        <v>是</v>
      </c>
    </row>
    <row r="316" spans="1:6">
      <c r="A316" s="614" t="s">
        <v>4651</v>
      </c>
      <c r="B316" s="653" t="str">
        <f>VLOOKUP(A316,BountyData!$A:$K,3,FALSE)</f>
        <v>消灭紫怪</v>
      </c>
      <c r="C316" s="654" t="str">
        <f>VLOOKUP(A316,BountyData!$A:$K,$H$1+3,FALSE)</f>
        <v>悬赏任务：消灭可耻的姬辛德拉</v>
      </c>
      <c r="D316" s="596" t="str">
        <f>VLOOKUP(A316,BountyData!$A:$K,8,FALSE)</f>
        <v>A4</v>
      </c>
      <c r="E316" s="278" t="str">
        <f>VLOOKUP(A316,BountyData!$A:$K,$H$1+8,FALSE)</f>
        <v>银色高塔一层</v>
      </c>
      <c r="F316" s="659" t="str">
        <f>VLOOKUP(A316,BountyData!$A:$K,2,FALSE)</f>
        <v>是</v>
      </c>
    </row>
    <row r="317" spans="1:6">
      <c r="A317" s="614" t="s">
        <v>4653</v>
      </c>
      <c r="B317" s="653" t="str">
        <f>VLOOKUP(A317,BountyData!$A:$K,3,FALSE)</f>
        <v>消灭紫怪</v>
      </c>
      <c r="C317" s="654" t="str">
        <f>VLOOKUP(A317,BountyData!$A:$K,$H$1+3,FALSE)</f>
        <v>悬赏任务：消灭被诅咒的派尔斯</v>
      </c>
      <c r="D317" s="596" t="str">
        <f>VLOOKUP(A317,BountyData!$A:$K,8,FALSE)</f>
        <v>A4</v>
      </c>
      <c r="E317" s="278" t="str">
        <f>VLOOKUP(A317,BountyData!$A:$K,$H$1+8,FALSE)</f>
        <v>银色高塔一层</v>
      </c>
      <c r="F317" s="659" t="str">
        <f>VLOOKUP(A317,BountyData!$A:$K,2,FALSE)</f>
        <v>是</v>
      </c>
    </row>
    <row r="318" spans="1:6">
      <c r="A318" s="614" t="s">
        <v>4655</v>
      </c>
      <c r="B318" s="653" t="str">
        <f>VLOOKUP(A318,BountyData!$A:$K,3,FALSE)</f>
        <v>消灭紫怪</v>
      </c>
      <c r="C318" s="654" t="str">
        <f>VLOOKUP(A318,BountyData!$A:$K,$H$1+3,FALSE)</f>
        <v>悬赏任务：消灭斯拉格·巨兽</v>
      </c>
      <c r="D318" s="596" t="str">
        <f>VLOOKUP(A318,BountyData!$A:$K,8,FALSE)</f>
        <v>A4</v>
      </c>
      <c r="E318" s="278" t="str">
        <f>VLOOKUP(A318,BountyData!$A:$K,$H$1+8,FALSE)</f>
        <v>银色高塔一层</v>
      </c>
      <c r="F318" s="659" t="str">
        <f>VLOOKUP(A318,BountyData!$A:$K,2,FALSE)</f>
        <v>是</v>
      </c>
    </row>
    <row r="319" spans="1:6">
      <c r="A319" s="614" t="s">
        <v>5057</v>
      </c>
      <c r="B319" s="588" t="str">
        <f>VLOOKUP(A319,BountyData!$A:$K,3,FALSE)</f>
        <v>怪物全清</v>
      </c>
      <c r="C319" s="599" t="str">
        <f>VLOOKUP(A319,BountyData!$A:$K,$H$1+3,FALSE)</f>
        <v>悬赏任务：清理遭围高塔二层</v>
      </c>
      <c r="D319" s="596" t="str">
        <f>VLOOKUP(A319,BountyData!$A:$K,8,FALSE)</f>
        <v>A4</v>
      </c>
      <c r="E319" s="278" t="str">
        <f>VLOOKUP(A319,BountyData!$A:$K,$H$1+8,FALSE)</f>
        <v>遭围高塔一层</v>
      </c>
      <c r="F319" s="659" t="str">
        <f>VLOOKUP(A319,BountyData!$A:$K,2,FALSE)</f>
        <v>是</v>
      </c>
    </row>
    <row r="320" spans="1:6">
      <c r="A320" s="614" t="s">
        <v>5045</v>
      </c>
      <c r="B320" s="653" t="str">
        <f>VLOOKUP(A320,BountyData!$A:$K,3,FALSE)</f>
        <v>消灭紫怪</v>
      </c>
      <c r="C320" s="654" t="str">
        <f>VLOOKUP(A320,BountyData!$A:$K,$H$1+3,FALSE)</f>
        <v>悬赏任务：消灭安度西亚</v>
      </c>
      <c r="D320" s="596" t="str">
        <f>VLOOKUP(A320,BountyData!$A:$K,8,FALSE)</f>
        <v>A4</v>
      </c>
      <c r="E320" s="278" t="str">
        <f>VLOOKUP(A320,BountyData!$A:$K,$H$1+8,FALSE)</f>
        <v>遭围高塔一层</v>
      </c>
      <c r="F320" s="659" t="str">
        <f>VLOOKUP(A320,BountyData!$A:$K,2,FALSE)</f>
        <v>是</v>
      </c>
    </row>
    <row r="321" spans="1:6">
      <c r="A321" s="614" t="s">
        <v>5047</v>
      </c>
      <c r="B321" s="653" t="str">
        <f>VLOOKUP(A321,BountyData!$A:$K,3,FALSE)</f>
        <v>消灭紫怪</v>
      </c>
      <c r="C321" s="654" t="str">
        <f>VLOOKUP(A321,BountyData!$A:$K,$H$1+3,FALSE)</f>
        <v>悬赏任务：消灭西莫瑞斯</v>
      </c>
      <c r="D321" s="596" t="str">
        <f>VLOOKUP(A321,BountyData!$A:$K,8,FALSE)</f>
        <v>A4</v>
      </c>
      <c r="E321" s="278" t="str">
        <f>VLOOKUP(A321,BountyData!$A:$K,$H$1+8,FALSE)</f>
        <v>遭围高塔一层</v>
      </c>
      <c r="F321" s="659" t="str">
        <f>VLOOKUP(A321,BountyData!$A:$K,2,FALSE)</f>
        <v>是</v>
      </c>
    </row>
    <row r="322" spans="1:6">
      <c r="A322" s="614" t="s">
        <v>5041</v>
      </c>
      <c r="B322" s="653" t="str">
        <f>VLOOKUP(A322,BountyData!$A:$K,3,FALSE)</f>
        <v>消灭紫怪</v>
      </c>
      <c r="C322" s="654" t="str">
        <f>VLOOKUP(A322,BountyData!$A:$K,$H$1+3,FALSE)</f>
        <v>悬赏任务：消灭感染者萨布诺克</v>
      </c>
      <c r="D322" s="596" t="str">
        <f>VLOOKUP(A322,BountyData!$A:$K,8,FALSE)</f>
        <v>A4</v>
      </c>
      <c r="E322" s="278" t="str">
        <f>VLOOKUP(A322,BountyData!$A:$K,$H$1+8,FALSE)</f>
        <v>遭围高塔一层</v>
      </c>
      <c r="F322" s="659" t="str">
        <f>VLOOKUP(A322,BountyData!$A:$K,2,FALSE)</f>
        <v>是</v>
      </c>
    </row>
    <row r="323" spans="1:6">
      <c r="A323" s="614" t="s">
        <v>5043</v>
      </c>
      <c r="B323" s="653" t="str">
        <f>VLOOKUP(A323,BountyData!$A:$K,3,FALSE)</f>
        <v>消灭紫怪</v>
      </c>
      <c r="C323" s="654" t="str">
        <f>VLOOKUP(A323,BountyData!$A:$K,$H$1+3,FALSE)</f>
        <v>悬赏任务：消灭梅尔法特·拜帕</v>
      </c>
      <c r="D323" s="596" t="str">
        <f>VLOOKUP(A323,BountyData!$A:$K,8,FALSE)</f>
        <v>A4</v>
      </c>
      <c r="E323" s="278" t="str">
        <f>VLOOKUP(A323,BountyData!$A:$K,$H$1+8,FALSE)</f>
        <v>遭围高塔一层</v>
      </c>
      <c r="F323" s="659" t="str">
        <f>VLOOKUP(A323,BountyData!$A:$K,2,FALSE)</f>
        <v>是</v>
      </c>
    </row>
    <row r="324" spans="1:6">
      <c r="A324" s="622" t="s">
        <v>6509</v>
      </c>
      <c r="B324" s="651" t="str">
        <f>VLOOKUP(A324,BountyData!$A:$K,3,FALSE)</f>
        <v>完成事件</v>
      </c>
      <c r="C324" s="652" t="str">
        <f>VLOOKUP(A324,BountyData!$A:$K,$H$1+3,FALSE)</f>
        <v>悬赏任务：诅咒林地</v>
      </c>
      <c r="D324" s="597" t="str">
        <f>VLOOKUP(A324,BountyData!$A:$K,8,FALSE)</f>
        <v>A5</v>
      </c>
      <c r="E324" s="283" t="str">
        <f>VLOOKUP(A324,BountyData!$A:$K,$H$1+8,FALSE)</f>
        <v>灰洞岛</v>
      </c>
      <c r="F324" s="659" t="str">
        <f>VLOOKUP(A324,BountyData!$A:$K,2,FALSE)</f>
        <v>是</v>
      </c>
    </row>
    <row r="325" spans="1:6">
      <c r="A325" s="622" t="s">
        <v>6507</v>
      </c>
      <c r="B325" s="651" t="str">
        <f>VLOOKUP(A325,BountyData!$A:$K,3,FALSE)</f>
        <v>完成事件</v>
      </c>
      <c r="C325" s="652" t="str">
        <f>VLOOKUP(A325,BountyData!$A:$K,$H$1+3,FALSE)</f>
        <v>悬赏任务：束缚邪灵</v>
      </c>
      <c r="D325" s="597" t="str">
        <f>VLOOKUP(A325,BountyData!$A:$K,8,FALSE)</f>
        <v>A5</v>
      </c>
      <c r="E325" s="283" t="str">
        <f>VLOOKUP(A325,BountyData!$A:$K,$H$1+8,FALSE)</f>
        <v>灰洞岛</v>
      </c>
      <c r="F325" s="659" t="str">
        <f>VLOOKUP(A325,BountyData!$A:$K,2,FALSE)</f>
        <v>是</v>
      </c>
    </row>
    <row r="326" spans="1:6">
      <c r="A326" s="622" t="s">
        <v>6505</v>
      </c>
      <c r="B326" s="651" t="str">
        <f>VLOOKUP(A326,BountyData!$A:$K,3,FALSE)</f>
        <v>完成事件</v>
      </c>
      <c r="C326" s="652" t="str">
        <f>VLOOKUP(A326,BountyData!$A:$K,$H$1+3,FALSE)</f>
        <v>悬赏任务：诅咒池塘</v>
      </c>
      <c r="D326" s="597" t="str">
        <f>VLOOKUP(A326,BountyData!$A:$K,8,FALSE)</f>
        <v>A5</v>
      </c>
      <c r="E326" s="283" t="str">
        <f>VLOOKUP(A326,BountyData!$A:$K,$H$1+8,FALSE)</f>
        <v>灰洞岛</v>
      </c>
      <c r="F326" s="659" t="str">
        <f>VLOOKUP(A326,BountyData!$A:$K,2,FALSE)</f>
        <v>是</v>
      </c>
    </row>
    <row r="327" spans="1:6">
      <c r="A327" s="622" t="s">
        <v>6503</v>
      </c>
      <c r="B327" s="651" t="str">
        <f>VLOOKUP(A327,BountyData!$A:$K,3,FALSE)</f>
        <v>完成事件</v>
      </c>
      <c r="C327" s="652" t="str">
        <f>VLOOKUP(A327,BountyData!$A:$K,$H$1+3,FALSE)</f>
        <v>悬赏任务：鬼魂牢笼</v>
      </c>
      <c r="D327" s="597" t="str">
        <f>VLOOKUP(A327,BountyData!$A:$K,8,FALSE)</f>
        <v>A5</v>
      </c>
      <c r="E327" s="283" t="str">
        <f>VLOOKUP(A327,BountyData!$A:$K,$H$1+8,FALSE)</f>
        <v>灰洞岛</v>
      </c>
      <c r="F327" s="659" t="str">
        <f>VLOOKUP(A327,BountyData!$A:$K,2,FALSE)</f>
        <v>是</v>
      </c>
    </row>
    <row r="328" spans="1:6">
      <c r="A328" s="622" t="s">
        <v>6501</v>
      </c>
      <c r="B328" s="651" t="str">
        <f>VLOOKUP(A328,BountyData!$A:$K,3,FALSE)</f>
        <v>完成事件</v>
      </c>
      <c r="C328" s="652" t="str">
        <f>VLOOKUP(A328,BountyData!$A:$K,$H$1+3,FALSE)</f>
        <v>悬赏任务：打断森林祷告</v>
      </c>
      <c r="D328" s="597" t="str">
        <f>VLOOKUP(A328,BountyData!$A:$K,8,FALSE)</f>
        <v>A5</v>
      </c>
      <c r="E328" s="283" t="str">
        <f>VLOOKUP(A328,BountyData!$A:$K,$H$1+8,FALSE)</f>
        <v>灰洞岛</v>
      </c>
      <c r="F328" s="659" t="str">
        <f>VLOOKUP(A328,BountyData!$A:$K,2,FALSE)</f>
        <v>是</v>
      </c>
    </row>
    <row r="329" spans="1:6">
      <c r="A329" s="622" t="s">
        <v>6515</v>
      </c>
      <c r="B329" s="653" t="str">
        <f>VLOOKUP(A329,BountyData!$A:$K,3,FALSE)</f>
        <v>消灭紫怪</v>
      </c>
      <c r="C329" s="654" t="str">
        <f>VLOOKUP(A329,BountyData!$A:$K,$H$1+3,FALSE)</f>
        <v>悬赏任务：消灭肥汁</v>
      </c>
      <c r="D329" s="597" t="str">
        <f>VLOOKUP(A329,BountyData!$A:$K,8,FALSE)</f>
        <v>A5</v>
      </c>
      <c r="E329" s="283" t="str">
        <f>VLOOKUP(A329,BountyData!$A:$K,$H$1+8,FALSE)</f>
        <v>灰洞岛</v>
      </c>
      <c r="F329" s="659" t="str">
        <f>VLOOKUP(A329,BountyData!$A:$K,2,FALSE)</f>
        <v>是</v>
      </c>
    </row>
    <row r="330" spans="1:6">
      <c r="A330" s="622" t="s">
        <v>6513</v>
      </c>
      <c r="B330" s="653" t="str">
        <f>VLOOKUP(A330,BountyData!$A:$K,3,FALSE)</f>
        <v>消灭紫怪</v>
      </c>
      <c r="C330" s="654" t="str">
        <f>VLOOKUP(A330,BountyData!$A:$K,$H$1+3,FALSE)</f>
        <v>悬赏任务：消灭法祖拉</v>
      </c>
      <c r="D330" s="597" t="str">
        <f>VLOOKUP(A330,BountyData!$A:$K,8,FALSE)</f>
        <v>A5</v>
      </c>
      <c r="E330" s="283" t="str">
        <f>VLOOKUP(A330,BountyData!$A:$K,$H$1+8,FALSE)</f>
        <v>灰洞岛</v>
      </c>
      <c r="F330" s="659" t="str">
        <f>VLOOKUP(A330,BountyData!$A:$K,2,FALSE)</f>
        <v>是</v>
      </c>
    </row>
    <row r="331" spans="1:6">
      <c r="A331" s="622" t="s">
        <v>6511</v>
      </c>
      <c r="B331" s="653" t="str">
        <f>VLOOKUP(A331,BountyData!$A:$K,3,FALSE)</f>
        <v>消灭紫怪</v>
      </c>
      <c r="C331" s="654" t="str">
        <f>VLOOKUP(A331,BountyData!$A:$K,$H$1+3,FALSE)</f>
        <v>悬赏任务：消灭赫蒙顿</v>
      </c>
      <c r="D331" s="597" t="str">
        <f>VLOOKUP(A331,BountyData!$A:$K,8,FALSE)</f>
        <v>A5</v>
      </c>
      <c r="E331" s="283" t="str">
        <f>VLOOKUP(A331,BountyData!$A:$K,$H$1+8,FALSE)</f>
        <v>灰洞岛</v>
      </c>
      <c r="F331" s="659" t="str">
        <f>VLOOKUP(A331,BountyData!$A:$K,2,FALSE)</f>
        <v>是</v>
      </c>
    </row>
    <row r="332" spans="1:6">
      <c r="A332" s="614" t="s">
        <v>4849</v>
      </c>
      <c r="B332" s="651" t="str">
        <f>VLOOKUP(A332,BountyData!$A:$K,3,FALSE)</f>
        <v>完成事件</v>
      </c>
      <c r="C332" s="652" t="str">
        <f>VLOOKUP(A332,BountyData!$A:$K,$H$1+3,FALSE)</f>
        <v>悬赏任务：远古囚牢</v>
      </c>
      <c r="D332" s="597" t="str">
        <f>VLOOKUP(A332,BountyData!$A:$K,8,FALSE)</f>
        <v>A5</v>
      </c>
      <c r="E332" s="283" t="str">
        <f>VLOOKUP(A332,BountyData!$A:$K,$H$1+8,FALSE)</f>
        <v>混沌要塞二层</v>
      </c>
      <c r="F332" s="659" t="str">
        <f>VLOOKUP(A332,BountyData!$A:$K,2,FALSE)</f>
        <v>是</v>
      </c>
    </row>
    <row r="333" spans="1:6">
      <c r="A333" s="614" t="s">
        <v>5017</v>
      </c>
      <c r="B333" s="651" t="str">
        <f>VLOOKUP(A333,BountyData!$A:$K,3,FALSE)</f>
        <v>完成事件</v>
      </c>
      <c r="C333" s="652" t="str">
        <f>VLOOKUP(A333,BountyData!$A:$K,$H$1+3,FALSE)</f>
        <v>悬赏任务：超时</v>
      </c>
      <c r="D333" s="597" t="str">
        <f>VLOOKUP(A333,BountyData!$A:$K,8,FALSE)</f>
        <v>A5</v>
      </c>
      <c r="E333" s="283" t="str">
        <f>VLOOKUP(A333,BountyData!$A:$K,$H$1+8,FALSE)</f>
        <v>混沌要塞二层</v>
      </c>
      <c r="F333" s="659" t="str">
        <f>VLOOKUP(A333,BountyData!$A:$K,2,FALSE)</f>
        <v>是</v>
      </c>
    </row>
    <row r="334" spans="1:6">
      <c r="A334" s="614" t="s">
        <v>4847</v>
      </c>
      <c r="B334" s="651" t="str">
        <f>VLOOKUP(A334,BountyData!$A:$K,3,FALSE)</f>
        <v>完成事件</v>
      </c>
      <c r="C334" s="652" t="str">
        <f>VLOOKUP(A334,BountyData!$A:$K,$H$1+3,FALSE)</f>
        <v>悬赏任务：水晶牢笼</v>
      </c>
      <c r="D334" s="597" t="str">
        <f>VLOOKUP(A334,BountyData!$A:$K,8,FALSE)</f>
        <v>A5</v>
      </c>
      <c r="E334" s="283" t="str">
        <f>VLOOKUP(A334,BountyData!$A:$K,$H$1+8,FALSE)</f>
        <v>混沌要塞二层</v>
      </c>
      <c r="F334" s="659" t="str">
        <f>VLOOKUP(A334,BountyData!$A:$K,2,FALSE)</f>
        <v>是</v>
      </c>
    </row>
    <row r="335" spans="1:6">
      <c r="A335" s="614" t="s">
        <v>4853</v>
      </c>
      <c r="B335" s="651" t="str">
        <f>VLOOKUP(A335,BountyData!$A:$K,3,FALSE)</f>
        <v>完成事件</v>
      </c>
      <c r="C335" s="652" t="str">
        <f>VLOOKUP(A335,BountyData!$A:$K,$H$1+3,FALSE)</f>
        <v>悬赏任务：失落的军团</v>
      </c>
      <c r="D335" s="597" t="str">
        <f>VLOOKUP(A335,BountyData!$A:$K,8,FALSE)</f>
        <v>A5</v>
      </c>
      <c r="E335" s="283" t="str">
        <f>VLOOKUP(A335,BountyData!$A:$K,$H$1+8,FALSE)</f>
        <v>混沌要塞二层</v>
      </c>
      <c r="F335" s="659" t="str">
        <f>VLOOKUP(A335,BountyData!$A:$K,2,FALSE)</f>
        <v>是</v>
      </c>
    </row>
    <row r="336" spans="1:6">
      <c r="A336" s="614" t="s">
        <v>4754</v>
      </c>
      <c r="B336" s="590" t="str">
        <f>VLOOKUP(A336,BountyData!$A:$K,3,FALSE)</f>
        <v>消灭首领</v>
      </c>
      <c r="C336" s="601" t="str">
        <f>VLOOKUP(A336,BountyData!$A:$K,$H$1+3,FALSE)</f>
        <v>悬赏任务：消灭马萨伊尔</v>
      </c>
      <c r="D336" s="597" t="str">
        <f>VLOOKUP(A336,BountyData!$A:$K,8,FALSE)</f>
        <v>A5</v>
      </c>
      <c r="E336" s="283" t="str">
        <f>VLOOKUP(A336,BountyData!$A:$K,$H$1+8,FALSE)</f>
        <v>混沌要塞二层</v>
      </c>
      <c r="F336" s="659" t="str">
        <f>VLOOKUP(A336,BountyData!$A:$K,2,FALSE)</f>
        <v>是</v>
      </c>
    </row>
    <row r="337" spans="1:6">
      <c r="A337" s="614" t="s">
        <v>4870</v>
      </c>
      <c r="B337" s="653" t="str">
        <f>VLOOKUP(A337,BountyData!$A:$K,3,FALSE)</f>
        <v>消灭紫怪</v>
      </c>
      <c r="C337" s="654" t="str">
        <f>VLOOKUP(A337,BountyData!$A:$K,$H$1+3,FALSE)</f>
        <v>悬赏任务：消灭亵渎者巴拉塔斯克</v>
      </c>
      <c r="D337" s="597" t="str">
        <f>VLOOKUP(A337,BountyData!$A:$K,8,FALSE)</f>
        <v>A5</v>
      </c>
      <c r="E337" s="283" t="str">
        <f>VLOOKUP(A337,BountyData!$A:$K,$H$1+8,FALSE)</f>
        <v>混沌要塞二层</v>
      </c>
      <c r="F337" s="659" t="str">
        <f>VLOOKUP(A337,BountyData!$A:$K,2,FALSE)</f>
        <v>是</v>
      </c>
    </row>
    <row r="338" spans="1:6">
      <c r="A338" s="614" t="s">
        <v>4874</v>
      </c>
      <c r="B338" s="653" t="str">
        <f>VLOOKUP(A338,BountyData!$A:$K,3,FALSE)</f>
        <v>消灭紫怪</v>
      </c>
      <c r="C338" s="654" t="str">
        <f>VLOOKUP(A338,BountyData!$A:$K,$H$1+3,FALSE)</f>
        <v>悬赏任务：消灭萨菲恩</v>
      </c>
      <c r="D338" s="597" t="str">
        <f>VLOOKUP(A338,BountyData!$A:$K,8,FALSE)</f>
        <v>A5</v>
      </c>
      <c r="E338" s="283" t="str">
        <f>VLOOKUP(A338,BountyData!$A:$K,$H$1+8,FALSE)</f>
        <v>混沌要塞二层</v>
      </c>
      <c r="F338" s="659" t="str">
        <f>VLOOKUP(A338,BountyData!$A:$K,2,FALSE)</f>
        <v>是</v>
      </c>
    </row>
    <row r="339" spans="1:6">
      <c r="A339" s="614" t="s">
        <v>4872</v>
      </c>
      <c r="B339" s="653" t="str">
        <f>VLOOKUP(A339,BountyData!$A:$K,3,FALSE)</f>
        <v>消灭紫怪</v>
      </c>
      <c r="C339" s="654" t="str">
        <f>VLOOKUP(A339,BountyData!$A:$K,$H$1+3,FALSE)</f>
        <v>悬赏任务：消灭佐鲁斯</v>
      </c>
      <c r="D339" s="597" t="str">
        <f>VLOOKUP(A339,BountyData!$A:$K,8,FALSE)</f>
        <v>A5</v>
      </c>
      <c r="E339" s="283" t="str">
        <f>VLOOKUP(A339,BountyData!$A:$K,$H$1+8,FALSE)</f>
        <v>混沌要塞二层</v>
      </c>
      <c r="F339" s="659" t="str">
        <f>VLOOKUP(A339,BountyData!$A:$K,2,FALSE)</f>
        <v>是</v>
      </c>
    </row>
    <row r="340" spans="1:6">
      <c r="A340" s="614" t="s">
        <v>4757</v>
      </c>
      <c r="B340" s="651" t="str">
        <f>VLOOKUP(A340,BountyData!$A:$K,3,FALSE)</f>
        <v>完成事件</v>
      </c>
      <c r="C340" s="652" t="str">
        <f>VLOOKUP(A340,BountyData!$A:$K,$H$1+3,FALSE)</f>
        <v>悬赏任务：猛烈攻击</v>
      </c>
      <c r="D340" s="597" t="str">
        <f>VLOOKUP(A340,BountyData!$A:$K,8,FALSE)</f>
        <v>A5</v>
      </c>
      <c r="E340" s="283" t="str">
        <f>VLOOKUP(A340,BountyData!$A:$K,$H$1+8,FALSE)</f>
        <v>混沌要塞一层</v>
      </c>
      <c r="F340" s="659" t="str">
        <f>VLOOKUP(A340,BountyData!$A:$K,2,FALSE)</f>
        <v>是</v>
      </c>
    </row>
    <row r="341" spans="1:6">
      <c r="A341" s="614" t="s">
        <v>4855</v>
      </c>
      <c r="B341" s="651" t="str">
        <f>VLOOKUP(A341,BountyData!$A:$K,3,FALSE)</f>
        <v>完成事件</v>
      </c>
      <c r="C341" s="652" t="str">
        <f>VLOOKUP(A341,BountyData!$A:$K,$H$1+3,FALSE)</f>
        <v>悬赏任务：判决</v>
      </c>
      <c r="D341" s="597" t="str">
        <f>VLOOKUP(A341,BountyData!$A:$K,8,FALSE)</f>
        <v>A5</v>
      </c>
      <c r="E341" s="283" t="str">
        <f>VLOOKUP(A341,BountyData!$A:$K,$H$1+8,FALSE)</f>
        <v>混沌要塞一层</v>
      </c>
      <c r="F341" s="659" t="str">
        <f>VLOOKUP(A341,BountyData!$A:$K,2,FALSE)</f>
        <v>是</v>
      </c>
    </row>
    <row r="342" spans="1:6">
      <c r="A342" s="614" t="s">
        <v>4851</v>
      </c>
      <c r="B342" s="651" t="str">
        <f>VLOOKUP(A342,BountyData!$A:$K,3,FALSE)</f>
        <v>完成事件</v>
      </c>
      <c r="C342" s="652" t="str">
        <f>VLOOKUP(A342,BountyData!$A:$K,$H$1+3,FALSE)</f>
        <v>悬赏任务：恶魔之笼</v>
      </c>
      <c r="D342" s="597" t="str">
        <f>VLOOKUP(A342,BountyData!$A:$K,8,FALSE)</f>
        <v>A5</v>
      </c>
      <c r="E342" s="283" t="str">
        <f>VLOOKUP(A342,BountyData!$A:$K,$H$1+8,FALSE)</f>
        <v>混沌要塞一层</v>
      </c>
      <c r="F342" s="659" t="str">
        <f>VLOOKUP(A342,BountyData!$A:$K,2,FALSE)</f>
        <v>是</v>
      </c>
    </row>
    <row r="343" spans="1:6">
      <c r="A343" s="614" t="s">
        <v>5033</v>
      </c>
      <c r="B343" s="651" t="str">
        <f>VLOOKUP(A343,BountyData!$A:$K,3,FALSE)</f>
        <v>完成事件</v>
      </c>
      <c r="C343" s="652" t="str">
        <f>VLOOKUP(A343,BountyData!$A:$K,$H$1+3,FALSE)</f>
        <v>悬赏任务：诅咒作战室</v>
      </c>
      <c r="D343" s="597" t="str">
        <f>VLOOKUP(A343,BountyData!$A:$K,8,FALSE)</f>
        <v>A5</v>
      </c>
      <c r="E343" s="283" t="str">
        <f>VLOOKUP(A343,BountyData!$A:$K,$H$1+8,FALSE)</f>
        <v>混沌要塞一层</v>
      </c>
      <c r="F343" s="659" t="str">
        <f>VLOOKUP(A343,BountyData!$A:$K,2,FALSE)</f>
        <v>是</v>
      </c>
    </row>
    <row r="344" spans="1:6">
      <c r="A344" s="614" t="s">
        <v>4857</v>
      </c>
      <c r="B344" s="651" t="str">
        <f>VLOOKUP(A344,BountyData!$A:$K,3,FALSE)</f>
        <v>完成事件</v>
      </c>
      <c r="C344" s="652" t="str">
        <f>VLOOKUP(A344,BountyData!$A:$K,$H$1+3,FALSE)</f>
        <v>悬赏任务：信仰飞跃</v>
      </c>
      <c r="D344" s="597" t="str">
        <f>VLOOKUP(A344,BountyData!$A:$K,8,FALSE)</f>
        <v>A5</v>
      </c>
      <c r="E344" s="283" t="str">
        <f>VLOOKUP(A344,BountyData!$A:$K,$H$1+8,FALSE)</f>
        <v>混沌要塞一层</v>
      </c>
      <c r="F344" s="659" t="str">
        <f>VLOOKUP(A344,BountyData!$A:$K,2,FALSE)</f>
        <v>是</v>
      </c>
    </row>
    <row r="345" spans="1:6">
      <c r="A345" s="614" t="s">
        <v>4859</v>
      </c>
      <c r="B345" s="651" t="str">
        <f>VLOOKUP(A345,BountyData!$A:$K,3,FALSE)</f>
        <v>完成事件</v>
      </c>
      <c r="C345" s="652" t="str">
        <f>VLOOKUP(A345,BountyData!$A:$K,$H$1+3,FALSE)</f>
        <v>悬赏任务：恶魔之魂</v>
      </c>
      <c r="D345" s="597" t="str">
        <f>VLOOKUP(A345,BountyData!$A:$K,8,FALSE)</f>
        <v>A5</v>
      </c>
      <c r="E345" s="283" t="str">
        <f>VLOOKUP(A345,BountyData!$A:$K,$H$1+8,FALSE)</f>
        <v>混沌要塞一层</v>
      </c>
      <c r="F345" s="659" t="str">
        <f>VLOOKUP(A345,BountyData!$A:$K,2,FALSE)</f>
        <v>是</v>
      </c>
    </row>
    <row r="346" spans="1:6">
      <c r="A346" s="614" t="s">
        <v>4864</v>
      </c>
      <c r="B346" s="653" t="str">
        <f>VLOOKUP(A346,BountyData!$A:$K,3,FALSE)</f>
        <v>消灭紫怪</v>
      </c>
      <c r="C346" s="654" t="str">
        <f>VLOOKUP(A346,BountyData!$A:$K,$H$1+3,FALSE)</f>
        <v>悬赏任务：消灭洛格拉斯</v>
      </c>
      <c r="D346" s="597" t="str">
        <f>VLOOKUP(A346,BountyData!$A:$K,8,FALSE)</f>
        <v>A5</v>
      </c>
      <c r="E346" s="283" t="str">
        <f>VLOOKUP(A346,BountyData!$A:$K,$H$1+8,FALSE)</f>
        <v>混沌要塞一层</v>
      </c>
      <c r="F346" s="659" t="str">
        <f>VLOOKUP(A346,BountyData!$A:$K,2,FALSE)</f>
        <v>是</v>
      </c>
    </row>
    <row r="347" spans="1:6">
      <c r="A347" s="614" t="s">
        <v>4868</v>
      </c>
      <c r="B347" s="653" t="str">
        <f>VLOOKUP(A347,BountyData!$A:$K,3,FALSE)</f>
        <v>消灭紫怪</v>
      </c>
      <c r="C347" s="654" t="str">
        <f>VLOOKUP(A347,BountyData!$A:$K,$H$1+3,FALSE)</f>
        <v>悬赏任务：消灭赛西斯</v>
      </c>
      <c r="D347" s="597" t="str">
        <f>VLOOKUP(A347,BountyData!$A:$K,8,FALSE)</f>
        <v>A5</v>
      </c>
      <c r="E347" s="283" t="str">
        <f>VLOOKUP(A347,BountyData!$A:$K,$H$1+8,FALSE)</f>
        <v>混沌要塞一层</v>
      </c>
      <c r="F347" s="659" t="str">
        <f>VLOOKUP(A347,BountyData!$A:$K,2,FALSE)</f>
        <v>是</v>
      </c>
    </row>
    <row r="348" spans="1:6">
      <c r="A348" s="614" t="s">
        <v>4866</v>
      </c>
      <c r="B348" s="653" t="str">
        <f>VLOOKUP(A348,BountyData!$A:$K,3,FALSE)</f>
        <v>消灭紫怪</v>
      </c>
      <c r="C348" s="654" t="str">
        <f>VLOOKUP(A348,BountyData!$A:$K,$H$1+3,FALSE)</f>
        <v>悬赏任务：消灭残忍的瓦泰斯克</v>
      </c>
      <c r="D348" s="597" t="str">
        <f>VLOOKUP(A348,BountyData!$A:$K,8,FALSE)</f>
        <v>A5</v>
      </c>
      <c r="E348" s="283" t="str">
        <f>VLOOKUP(A348,BountyData!$A:$K,$H$1+8,FALSE)</f>
        <v>混沌要塞一层</v>
      </c>
      <c r="F348" s="659" t="str">
        <f>VLOOKUP(A348,BountyData!$A:$K,2,FALSE)</f>
        <v>是</v>
      </c>
    </row>
    <row r="349" spans="1:6">
      <c r="A349" s="614" t="s">
        <v>5102</v>
      </c>
      <c r="B349" s="589" t="str">
        <f>VLOOKUP(A349,BountyData!$A:$K,3,FALSE)</f>
        <v>扫荡野营</v>
      </c>
      <c r="C349" s="600" t="str">
        <f>VLOOKUP(A349,BountyData!$A:$K,$H$1+3,FALSE)</f>
        <v>悬赏任务：拉斯玛的礼物</v>
      </c>
      <c r="D349" s="597" t="str">
        <f>VLOOKUP(A349,BountyData!$A:$K,8,FALSE)</f>
        <v>A5</v>
      </c>
      <c r="E349" s="283" t="str">
        <f>VLOOKUP(A349,BountyData!$A:$K,$H$1+8,FALSE)</f>
        <v>棘草墓园</v>
      </c>
      <c r="F349" s="659" t="str">
        <f>VLOOKUP(A349,BountyData!$A:$K,2,FALSE)</f>
        <v>是</v>
      </c>
    </row>
    <row r="350" spans="1:6">
      <c r="A350" s="614" t="s">
        <v>4714</v>
      </c>
      <c r="B350" s="651" t="str">
        <f>VLOOKUP(A350,BountyData!$A:$K,3,FALSE)</f>
        <v>完成事件</v>
      </c>
      <c r="C350" s="652" t="str">
        <f>VLOOKUP(A350,BountyData!$A:$K,$H$1+3,FALSE)</f>
        <v>悬赏任务：悲伤祭坛</v>
      </c>
      <c r="D350" s="597" t="str">
        <f>VLOOKUP(A350,BountyData!$A:$K,8,FALSE)</f>
        <v>A5</v>
      </c>
      <c r="E350" s="283" t="str">
        <f>VLOOKUP(A350,BountyData!$A:$K,$H$1+8,FALSE)</f>
        <v>棘草墓园</v>
      </c>
      <c r="F350" s="659" t="str">
        <f>VLOOKUP(A350,BountyData!$A:$K,2,FALSE)</f>
        <v>是</v>
      </c>
    </row>
    <row r="351" spans="1:6">
      <c r="A351" s="614" t="s">
        <v>4706</v>
      </c>
      <c r="B351" s="651" t="str">
        <f>VLOOKUP(A351,BountyData!$A:$K,3,FALSE)</f>
        <v>完成事件</v>
      </c>
      <c r="C351" s="652" t="str">
        <f>VLOOKUP(A351,BountyData!$A:$K,$H$1+3,FALSE)</f>
        <v>悬赏任务：墓穴专家</v>
      </c>
      <c r="D351" s="597" t="str">
        <f>VLOOKUP(A351,BountyData!$A:$K,8,FALSE)</f>
        <v>A5</v>
      </c>
      <c r="E351" s="283" t="str">
        <f>VLOOKUP(A351,BountyData!$A:$K,$H$1+8,FALSE)</f>
        <v>棘草墓园</v>
      </c>
      <c r="F351" s="659" t="str">
        <f>VLOOKUP(A351,BountyData!$A:$K,2,FALSE)</f>
        <v>是</v>
      </c>
    </row>
    <row r="352" spans="1:6">
      <c r="A352" s="614" t="s">
        <v>4712</v>
      </c>
      <c r="B352" s="651" t="str">
        <f>VLOOKUP(A352,BountyData!$A:$K,3,FALSE)</f>
        <v>完成事件</v>
      </c>
      <c r="C352" s="652" t="str">
        <f>VLOOKUP(A352,BountyData!$A:$K,$H$1+3,FALSE)</f>
        <v>悬赏任务：盗墓贼</v>
      </c>
      <c r="D352" s="597" t="str">
        <f>VLOOKUP(A352,BountyData!$A:$K,8,FALSE)</f>
        <v>A5</v>
      </c>
      <c r="E352" s="283" t="str">
        <f>VLOOKUP(A352,BountyData!$A:$K,$H$1+8,FALSE)</f>
        <v>棘草墓园</v>
      </c>
      <c r="F352" s="659" t="str">
        <f>VLOOKUP(A352,BountyData!$A:$K,2,FALSE)</f>
        <v>是</v>
      </c>
    </row>
    <row r="353" spans="1:6">
      <c r="A353" s="614" t="s">
        <v>4710</v>
      </c>
      <c r="B353" s="651" t="str">
        <f>VLOOKUP(A353,BountyData!$A:$K,3,FALSE)</f>
        <v>完成事件</v>
      </c>
      <c r="C353" s="652" t="str">
        <f>VLOOKUP(A353,BountyData!$A:$K,$H$1+3,FALSE)</f>
        <v>悬赏任务：险恶的处境</v>
      </c>
      <c r="D353" s="597" t="str">
        <f>VLOOKUP(A353,BountyData!$A:$K,8,FALSE)</f>
        <v>A5</v>
      </c>
      <c r="E353" s="283" t="str">
        <f>VLOOKUP(A353,BountyData!$A:$K,$H$1+8,FALSE)</f>
        <v>棘草墓园</v>
      </c>
      <c r="F353" s="659" t="str">
        <f>VLOOKUP(A353,BountyData!$A:$K,2,FALSE)</f>
        <v>是</v>
      </c>
    </row>
    <row r="354" spans="1:6">
      <c r="A354" s="614" t="s">
        <v>4708</v>
      </c>
      <c r="B354" s="651" t="str">
        <f>VLOOKUP(A354,BountyData!$A:$K,3,FALSE)</f>
        <v>完成事件</v>
      </c>
      <c r="C354" s="652" t="str">
        <f>VLOOKUP(A354,BountyData!$A:$K,$H$1+3,FALSE)</f>
        <v>悬赏任务：佩尼的请求</v>
      </c>
      <c r="D354" s="597" t="str">
        <f>VLOOKUP(A354,BountyData!$A:$K,8,FALSE)</f>
        <v>A5</v>
      </c>
      <c r="E354" s="283" t="str">
        <f>VLOOKUP(A354,BountyData!$A:$K,$H$1+8,FALSE)</f>
        <v>棘草墓园</v>
      </c>
      <c r="F354" s="659" t="str">
        <f>VLOOKUP(A354,BountyData!$A:$K,2,FALSE)</f>
        <v>是</v>
      </c>
    </row>
    <row r="355" spans="1:6">
      <c r="A355" s="614" t="s">
        <v>4716</v>
      </c>
      <c r="B355" s="653" t="str">
        <f>VLOOKUP(A355,BountyData!$A:$K,3,FALSE)</f>
        <v>消灭紫怪</v>
      </c>
      <c r="C355" s="654" t="str">
        <f>VLOOKUP(A355,BountyData!$A:$K,$H$1+3,FALSE)</f>
        <v>悬赏任务：消灭厄蒂斯</v>
      </c>
      <c r="D355" s="597" t="str">
        <f>VLOOKUP(A355,BountyData!$A:$K,8,FALSE)</f>
        <v>A5</v>
      </c>
      <c r="E355" s="283" t="str">
        <f>VLOOKUP(A355,BountyData!$A:$K,$H$1+8,FALSE)</f>
        <v>棘草墓园</v>
      </c>
      <c r="F355" s="659" t="str">
        <f>VLOOKUP(A355,BountyData!$A:$K,2,FALSE)</f>
        <v>是</v>
      </c>
    </row>
    <row r="356" spans="1:6">
      <c r="A356" s="614" t="s">
        <v>4817</v>
      </c>
      <c r="B356" s="653" t="str">
        <f>VLOOKUP(A356,BountyData!$A:$K,3,FALSE)</f>
        <v>消灭紫怪</v>
      </c>
      <c r="C356" s="654" t="str">
        <f>VLOOKUP(A356,BountyData!$A:$K,$H$1+3,FALSE)</f>
        <v>悬赏任务：消灭赫德罗斯</v>
      </c>
      <c r="D356" s="597" t="str">
        <f>VLOOKUP(A356,BountyData!$A:$K,8,FALSE)</f>
        <v>A5</v>
      </c>
      <c r="E356" s="283" t="str">
        <f>VLOOKUP(A356,BountyData!$A:$K,$H$1+8,FALSE)</f>
        <v>棘草墓园</v>
      </c>
      <c r="F356" s="659" t="str">
        <f>VLOOKUP(A356,BountyData!$A:$K,2,FALSE)</f>
        <v>是</v>
      </c>
    </row>
    <row r="357" spans="1:6" ht="15.5" thickBot="1">
      <c r="A357" s="614" t="s">
        <v>4819</v>
      </c>
      <c r="B357" s="655" t="str">
        <f>VLOOKUP(A357,BountyData!$A:$K,3,FALSE)</f>
        <v>消灭紫怪</v>
      </c>
      <c r="C357" s="656" t="str">
        <f>VLOOKUP(A357,BountyData!$A:$K,$H$1+3,FALSE)</f>
        <v>悬赏任务：消灭普拉</v>
      </c>
      <c r="D357" s="598" t="str">
        <f>VLOOKUP(A357,BountyData!$A:$K,8,FALSE)</f>
        <v>A5</v>
      </c>
      <c r="E357" s="310" t="str">
        <f>VLOOKUP(A357,BountyData!$A:$K,$H$1+8,FALSE)</f>
        <v>棘草墓园</v>
      </c>
      <c r="F357" s="660" t="str">
        <f>VLOOKUP(A357,BountyData!$A:$K,2,FALSE)</f>
        <v>是</v>
      </c>
    </row>
    <row r="358" spans="1:6">
      <c r="A358" s="614" t="s">
        <v>4821</v>
      </c>
      <c r="B358" s="662" t="str">
        <f>VLOOKUP(A358,BountyData!$A:$K,3,FALSE)</f>
        <v>消灭紫怪</v>
      </c>
      <c r="C358" s="663" t="str">
        <f>VLOOKUP(A358,BountyData!$A:$K,$H$1+3,FALSE)</f>
        <v>悬赏任务：消灭塔格瑞斯</v>
      </c>
      <c r="D358" s="658" t="str">
        <f>VLOOKUP(A358,BountyData!$A:$K,8,FALSE)</f>
        <v>A5</v>
      </c>
      <c r="E358" s="650" t="str">
        <f>VLOOKUP(A358,BountyData!$A:$K,$H$1+8,FALSE)</f>
        <v>棘草墓园</v>
      </c>
      <c r="F358" s="661" t="str">
        <f>VLOOKUP(A358,BountyData!$A:$K,2,FALSE)</f>
        <v>是</v>
      </c>
    </row>
    <row r="359" spans="1:6">
      <c r="A359" s="622" t="s">
        <v>6366</v>
      </c>
      <c r="B359" s="651" t="str">
        <f>VLOOKUP(A359,BountyData!$A:$K,3,FALSE)</f>
        <v>完成事件</v>
      </c>
      <c r="C359" s="652" t="str">
        <f>VLOOKUP(A359,BountyData!$A:$K,$H$1+3,FALSE)</f>
        <v>悬赏任务：奈非天圣骨匣</v>
      </c>
      <c r="D359" s="597" t="str">
        <f>VLOOKUP(A359,BountyData!$A:$K,8,FALSE)</f>
        <v>A5</v>
      </c>
      <c r="E359" s="283" t="str">
        <f>VLOOKUP(A359,BountyData!$A:$K,$H$1+8,FALSE)</f>
        <v>科乌斯废墟</v>
      </c>
      <c r="F359" s="602" t="str">
        <f>VLOOKUP(A359,BountyData!$A:$K,2,FALSE)</f>
        <v>2.4尚未启用</v>
      </c>
    </row>
    <row r="360" spans="1:6">
      <c r="A360" s="614" t="s">
        <v>4745</v>
      </c>
      <c r="B360" s="651" t="str">
        <f>VLOOKUP(A360,BountyData!$A:$K,3,FALSE)</f>
        <v>完成事件</v>
      </c>
      <c r="C360" s="652" t="str">
        <f>VLOOKUP(A360,BountyData!$A:$K,$H$1+3,FALSE)</f>
        <v>悬赏任务：奈非天圣骨匣</v>
      </c>
      <c r="D360" s="597" t="str">
        <f>VLOOKUP(A360,BountyData!$A:$K,8,FALSE)</f>
        <v>A5</v>
      </c>
      <c r="E360" s="283" t="str">
        <f>VLOOKUP(A360,BountyData!$A:$K,$H$1+8,FALSE)</f>
        <v>科乌斯废墟</v>
      </c>
      <c r="F360" s="602" t="str">
        <f>VLOOKUP(A360,BountyData!$A:$K,2,FALSE)</f>
        <v>2.4尚未启用</v>
      </c>
    </row>
    <row r="361" spans="1:6">
      <c r="A361" s="614" t="s">
        <v>4747</v>
      </c>
      <c r="B361" s="651" t="str">
        <f>VLOOKUP(A361,BountyData!$A:$K,3,FALSE)</f>
        <v>完成事件</v>
      </c>
      <c r="C361" s="652" t="str">
        <f>VLOOKUP(A361,BountyData!$A:$K,$H$1+3,FALSE)</f>
        <v>悬赏任务：黄金密室</v>
      </c>
      <c r="D361" s="597" t="str">
        <f>VLOOKUP(A361,BountyData!$A:$K,8,FALSE)</f>
        <v>A5</v>
      </c>
      <c r="E361" s="283" t="str">
        <f>VLOOKUP(A361,BountyData!$A:$K,$H$1+8,FALSE)</f>
        <v>科乌斯废墟</v>
      </c>
      <c r="F361" s="659" t="str">
        <f>VLOOKUP(A361,BountyData!$A:$K,2,FALSE)</f>
        <v>是</v>
      </c>
    </row>
    <row r="362" spans="1:6">
      <c r="A362" s="614" t="s">
        <v>4751</v>
      </c>
      <c r="B362" s="590" t="str">
        <f>VLOOKUP(A362,BountyData!$A:$K,3,FALSE)</f>
        <v>消灭首领</v>
      </c>
      <c r="C362" s="601" t="str">
        <f>VLOOKUP(A362,BountyData!$A:$K,$H$1+3,FALSE)</f>
        <v>悬赏任务：消灭艾德莉亚</v>
      </c>
      <c r="D362" s="597" t="str">
        <f>VLOOKUP(A362,BountyData!$A:$K,8,FALSE)</f>
        <v>A5</v>
      </c>
      <c r="E362" s="283" t="str">
        <f>VLOOKUP(A362,BountyData!$A:$K,$H$1+8,FALSE)</f>
        <v>科乌斯废墟</v>
      </c>
      <c r="F362" s="659" t="str">
        <f>VLOOKUP(A362,BountyData!$A:$K,2,FALSE)</f>
        <v>是</v>
      </c>
    </row>
    <row r="363" spans="1:6">
      <c r="A363" s="614" t="s">
        <v>4806</v>
      </c>
      <c r="B363" s="653" t="str">
        <f>VLOOKUP(A363,BountyData!$A:$K,3,FALSE)</f>
        <v>消灭紫怪</v>
      </c>
      <c r="C363" s="654" t="str">
        <f>VLOOKUP(A363,BountyData!$A:$K,$H$1+3,FALSE)</f>
        <v>悬赏任务：消灭巴里·哈塔</v>
      </c>
      <c r="D363" s="597" t="str">
        <f>VLOOKUP(A363,BountyData!$A:$K,8,FALSE)</f>
        <v>A5</v>
      </c>
      <c r="E363" s="283" t="str">
        <f>VLOOKUP(A363,BountyData!$A:$K,$H$1+8,FALSE)</f>
        <v>科乌斯废墟</v>
      </c>
      <c r="F363" s="659" t="str">
        <f>VLOOKUP(A363,BountyData!$A:$K,2,FALSE)</f>
        <v>是</v>
      </c>
    </row>
    <row r="364" spans="1:6">
      <c r="A364" s="614" t="s">
        <v>4808</v>
      </c>
      <c r="B364" s="653" t="str">
        <f>VLOOKUP(A364,BountyData!$A:$K,3,FALSE)</f>
        <v>消灭紫怪</v>
      </c>
      <c r="C364" s="654" t="str">
        <f>VLOOKUP(A364,BountyData!$A:$K,$H$1+3,FALSE)</f>
        <v>悬赏任务：消灭巴里·摩库</v>
      </c>
      <c r="D364" s="597" t="str">
        <f>VLOOKUP(A364,BountyData!$A:$K,8,FALSE)</f>
        <v>A5</v>
      </c>
      <c r="E364" s="283" t="str">
        <f>VLOOKUP(A364,BountyData!$A:$K,$H$1+8,FALSE)</f>
        <v>科乌斯废墟</v>
      </c>
      <c r="F364" s="659" t="str">
        <f>VLOOKUP(A364,BountyData!$A:$K,2,FALSE)</f>
        <v>是</v>
      </c>
    </row>
    <row r="365" spans="1:6">
      <c r="A365" s="614" t="s">
        <v>4804</v>
      </c>
      <c r="B365" s="653" t="str">
        <f>VLOOKUP(A365,BountyData!$A:$K,3,FALSE)</f>
        <v>消灭紫怪</v>
      </c>
      <c r="C365" s="654" t="str">
        <f>VLOOKUP(A365,BountyData!$A:$K,$H$1+3,FALSE)</f>
        <v>悬赏任务：消灭纳克·库金</v>
      </c>
      <c r="D365" s="597" t="str">
        <f>VLOOKUP(A365,BountyData!$A:$K,8,FALSE)</f>
        <v>A5</v>
      </c>
      <c r="E365" s="283" t="str">
        <f>VLOOKUP(A365,BountyData!$A:$K,$H$1+8,FALSE)</f>
        <v>科乌斯废墟</v>
      </c>
      <c r="F365" s="659" t="str">
        <f>VLOOKUP(A365,BountyData!$A:$K,2,FALSE)</f>
        <v>是</v>
      </c>
    </row>
    <row r="366" spans="1:6">
      <c r="A366" s="614" t="s">
        <v>4802</v>
      </c>
      <c r="B366" s="653" t="str">
        <f>VLOOKUP(A366,BountyData!$A:$K,3,FALSE)</f>
        <v>消灭紫怪</v>
      </c>
      <c r="C366" s="654" t="str">
        <f>VLOOKUP(A366,BountyData!$A:$K,$H$1+3,FALSE)</f>
        <v>悬赏任务：消灭纳克·萨鲁格</v>
      </c>
      <c r="D366" s="597" t="str">
        <f>VLOOKUP(A366,BountyData!$A:$K,8,FALSE)</f>
        <v>A5</v>
      </c>
      <c r="E366" s="283" t="str">
        <f>VLOOKUP(A366,BountyData!$A:$K,$H$1+8,FALSE)</f>
        <v>科乌斯废墟</v>
      </c>
      <c r="F366" s="659" t="str">
        <f>VLOOKUP(A366,BountyData!$A:$K,2,FALSE)</f>
        <v>是</v>
      </c>
    </row>
    <row r="367" spans="1:6">
      <c r="A367" s="614" t="s">
        <v>4980</v>
      </c>
      <c r="B367" s="588" t="str">
        <f>VLOOKUP(A367,BountyData!$A:$K,3,FALSE)</f>
        <v>怪物全清</v>
      </c>
      <c r="C367" s="599" t="str">
        <f>VLOOKUP(A367,BountyData!$A:$K,$H$1+3,FALSE)</f>
        <v>悬赏任务：清理凶险洞穴</v>
      </c>
      <c r="D367" s="597" t="str">
        <f>VLOOKUP(A367,BountyData!$A:$K,8,FALSE)</f>
        <v>A5</v>
      </c>
      <c r="E367" s="283" t="str">
        <f>VLOOKUP(A367,BountyData!$A:$K,$H$1+8,FALSE)</f>
        <v>漫水古道</v>
      </c>
      <c r="F367" s="659" t="str">
        <f>VLOOKUP(A367,BountyData!$A:$K,2,FALSE)</f>
        <v>是</v>
      </c>
    </row>
    <row r="368" spans="1:6">
      <c r="A368" s="614" t="s">
        <v>4887</v>
      </c>
      <c r="B368" s="651" t="str">
        <f>VLOOKUP(A368,BountyData!$A:$K,3,FALSE)</f>
        <v>完成事件</v>
      </c>
      <c r="C368" s="652" t="str">
        <f>VLOOKUP(A368,BountyData!$A:$K,$H$1+3,FALSE)</f>
        <v>悬赏任务：沼泽兽宝藏</v>
      </c>
      <c r="D368" s="597" t="str">
        <f>VLOOKUP(A368,BountyData!$A:$K,8,FALSE)</f>
        <v>A5</v>
      </c>
      <c r="E368" s="283" t="str">
        <f>VLOOKUP(A368,BountyData!$A:$K,$H$1+8,FALSE)</f>
        <v>漫水古道</v>
      </c>
      <c r="F368" s="659" t="str">
        <f>VLOOKUP(A368,BountyData!$A:$K,2,FALSE)</f>
        <v>是</v>
      </c>
    </row>
    <row r="369" spans="1:6">
      <c r="A369" s="614" t="s">
        <v>5015</v>
      </c>
      <c r="B369" s="651" t="str">
        <f>VLOOKUP(A369,BountyData!$A:$K,3,FALSE)</f>
        <v>完成事件</v>
      </c>
      <c r="C369" s="652" t="str">
        <f>VLOOKUP(A369,BountyData!$A:$K,$H$1+3,FALSE)</f>
        <v>悬赏任务：诅咒之城</v>
      </c>
      <c r="D369" s="597" t="str">
        <f>VLOOKUP(A369,BountyData!$A:$K,8,FALSE)</f>
        <v>A5</v>
      </c>
      <c r="E369" s="283" t="str">
        <f>VLOOKUP(A369,BountyData!$A:$K,$H$1+8,FALSE)</f>
        <v>漫水古道</v>
      </c>
      <c r="F369" s="659" t="str">
        <f>VLOOKUP(A369,BountyData!$A:$K,2,FALSE)</f>
        <v>是</v>
      </c>
    </row>
    <row r="370" spans="1:6">
      <c r="A370" s="614" t="s">
        <v>4720</v>
      </c>
      <c r="B370" s="651" t="str">
        <f>VLOOKUP(A370,BountyData!$A:$K,3,FALSE)</f>
        <v>完成事件</v>
      </c>
      <c r="C370" s="652" t="str">
        <f>VLOOKUP(A370,BountyData!$A:$K,$H$1+3,FALSE)</f>
        <v>悬赏任务：研究难题</v>
      </c>
      <c r="D370" s="597" t="str">
        <f>VLOOKUP(A370,BountyData!$A:$K,8,FALSE)</f>
        <v>A5</v>
      </c>
      <c r="E370" s="283" t="str">
        <f>VLOOKUP(A370,BountyData!$A:$K,$H$1+8,FALSE)</f>
        <v>漫水古道</v>
      </c>
      <c r="F370" s="602" t="str">
        <f>VLOOKUP(A370,BountyData!$A:$K,2,FALSE)</f>
        <v>是</v>
      </c>
    </row>
    <row r="371" spans="1:6">
      <c r="A371" s="614" t="s">
        <v>5035</v>
      </c>
      <c r="B371" s="651" t="str">
        <f>VLOOKUP(A371,BountyData!$A:$K,3,FALSE)</f>
        <v>完成事件</v>
      </c>
      <c r="C371" s="652" t="str">
        <f>VLOOKUP(A371,BountyData!$A:$K,$H$1+3,FALSE)</f>
        <v>悬赏任务：诅咒沼泽</v>
      </c>
      <c r="D371" s="597" t="str">
        <f>VLOOKUP(A371,BountyData!$A:$K,8,FALSE)</f>
        <v>A5</v>
      </c>
      <c r="E371" s="283" t="str">
        <f>VLOOKUP(A371,BountyData!$A:$K,$H$1+8,FALSE)</f>
        <v>漫水古道</v>
      </c>
      <c r="F371" s="659" t="str">
        <f>VLOOKUP(A371,BountyData!$A:$K,2,FALSE)</f>
        <v>是</v>
      </c>
    </row>
    <row r="372" spans="1:6">
      <c r="A372" s="614" t="s">
        <v>4723</v>
      </c>
      <c r="B372" s="651" t="str">
        <f>VLOOKUP(A372,BountyData!$A:$K,3,FALSE)</f>
        <v>完成事件</v>
      </c>
      <c r="C372" s="652" t="str">
        <f>VLOOKUP(A372,BountyData!$A:$K,$H$1+3,FALSE)</f>
        <v>悬赏任务：沼泽山之王</v>
      </c>
      <c r="D372" s="597" t="str">
        <f>VLOOKUP(A372,BountyData!$A:$K,8,FALSE)</f>
        <v>A5</v>
      </c>
      <c r="E372" s="283" t="str">
        <f>VLOOKUP(A372,BountyData!$A:$K,$H$1+8,FALSE)</f>
        <v>漫水古道</v>
      </c>
      <c r="F372" s="659" t="str">
        <f>VLOOKUP(A372,BountyData!$A:$K,2,FALSE)</f>
        <v>是</v>
      </c>
    </row>
    <row r="373" spans="1:6">
      <c r="A373" s="614" t="s">
        <v>4721</v>
      </c>
      <c r="B373" s="651" t="str">
        <f>VLOOKUP(A373,BountyData!$A:$K,3,FALSE)</f>
        <v>完成事件</v>
      </c>
      <c r="C373" s="652" t="str">
        <f>VLOOKUP(A373,BountyData!$A:$K,$H$1+3,FALSE)</f>
        <v>悬赏任务：愚者之王</v>
      </c>
      <c r="D373" s="597" t="str">
        <f>VLOOKUP(A373,BountyData!$A:$K,8,FALSE)</f>
        <v>A5</v>
      </c>
      <c r="E373" s="283" t="str">
        <f>VLOOKUP(A373,BountyData!$A:$K,$H$1+8,FALSE)</f>
        <v>漫水古道</v>
      </c>
      <c r="F373" s="659" t="str">
        <f>VLOOKUP(A373,BountyData!$A:$K,2,FALSE)</f>
        <v>是</v>
      </c>
    </row>
    <row r="374" spans="1:6">
      <c r="A374" s="614" t="s">
        <v>4718</v>
      </c>
      <c r="B374" s="651" t="str">
        <f>VLOOKUP(A374,BountyData!$A:$K,3,FALSE)</f>
        <v>完成事件</v>
      </c>
      <c r="C374" s="652" t="str">
        <f>VLOOKUP(A374,BountyData!$A:$K,$H$1+3,FALSE)</f>
        <v>悬赏任务：火人</v>
      </c>
      <c r="D374" s="597" t="str">
        <f>VLOOKUP(A374,BountyData!$A:$K,8,FALSE)</f>
        <v>A5</v>
      </c>
      <c r="E374" s="283" t="str">
        <f>VLOOKUP(A374,BountyData!$A:$K,$H$1+8,FALSE)</f>
        <v>漫水古道</v>
      </c>
      <c r="F374" s="659" t="str">
        <f>VLOOKUP(A374,BountyData!$A:$K,2,FALSE)</f>
        <v>是</v>
      </c>
    </row>
    <row r="375" spans="1:6">
      <c r="A375" s="614" t="s">
        <v>4794</v>
      </c>
      <c r="B375" s="653" t="str">
        <f>VLOOKUP(A375,BountyData!$A:$K,3,FALSE)</f>
        <v>消灭紫怪</v>
      </c>
      <c r="C375" s="654" t="str">
        <f>VLOOKUP(A375,BountyData!$A:$K,$H$1+3,FALSE)</f>
        <v>悬赏任务：消灭灰斑阿尔玛什</v>
      </c>
      <c r="D375" s="597" t="str">
        <f>VLOOKUP(A375,BountyData!$A:$K,8,FALSE)</f>
        <v>A5</v>
      </c>
      <c r="E375" s="283" t="str">
        <f>VLOOKUP(A375,BountyData!$A:$K,$H$1+8,FALSE)</f>
        <v>漫水古道</v>
      </c>
      <c r="F375" s="659" t="str">
        <f>VLOOKUP(A375,BountyData!$A:$K,2,FALSE)</f>
        <v>是</v>
      </c>
    </row>
    <row r="376" spans="1:6">
      <c r="A376" s="614" t="s">
        <v>4787</v>
      </c>
      <c r="B376" s="653" t="str">
        <f>VLOOKUP(A376,BountyData!$A:$K,3,FALSE)</f>
        <v>消灭紫怪</v>
      </c>
      <c r="C376" s="654" t="str">
        <f>VLOOKUP(A376,BountyData!$A:$K,$H$1+3,FALSE)</f>
        <v>悬赏任务：消灭夸雷尔</v>
      </c>
      <c r="D376" s="597" t="str">
        <f>VLOOKUP(A376,BountyData!$A:$K,8,FALSE)</f>
        <v>A5</v>
      </c>
      <c r="E376" s="283" t="str">
        <f>VLOOKUP(A376,BountyData!$A:$K,$H$1+8,FALSE)</f>
        <v>漫水古道</v>
      </c>
      <c r="F376" s="602" t="str">
        <f>VLOOKUP(A376,BountyData!$A:$K,2,FALSE)</f>
        <v>无数据</v>
      </c>
    </row>
    <row r="377" spans="1:6">
      <c r="A377" s="614" t="s">
        <v>4790</v>
      </c>
      <c r="B377" s="653" t="str">
        <f>VLOOKUP(A377,BountyData!$A:$K,3,FALSE)</f>
        <v>消灭紫怪</v>
      </c>
      <c r="C377" s="654" t="str">
        <f>VLOOKUP(A377,BountyData!$A:$K,$H$1+3,FALSE)</f>
        <v>悬赏任务：消灭板牙</v>
      </c>
      <c r="D377" s="597" t="str">
        <f>VLOOKUP(A377,BountyData!$A:$K,8,FALSE)</f>
        <v>A5</v>
      </c>
      <c r="E377" s="283" t="str">
        <f>VLOOKUP(A377,BountyData!$A:$K,$H$1+8,FALSE)</f>
        <v>漫水古道</v>
      </c>
      <c r="F377" s="659" t="str">
        <f>VLOOKUP(A377,BountyData!$A:$K,2,FALSE)</f>
        <v>是</v>
      </c>
    </row>
    <row r="378" spans="1:6">
      <c r="A378" s="614" t="s">
        <v>4886</v>
      </c>
      <c r="B378" s="653" t="str">
        <f>VLOOKUP(A378,BountyData!$A:$K,3,FALSE)</f>
        <v>消灭紫怪</v>
      </c>
      <c r="C378" s="654" t="str">
        <f>VLOOKUP(A378,BountyData!$A:$K,$H$1+3,FALSE)</f>
        <v>悬赏任务：消灭卢·卡</v>
      </c>
      <c r="D378" s="597" t="str">
        <f>VLOOKUP(A378,BountyData!$A:$K,8,FALSE)</f>
        <v>A5</v>
      </c>
      <c r="E378" s="283" t="str">
        <f>VLOOKUP(A378,BountyData!$A:$K,$H$1+8,FALSE)</f>
        <v>漫水古道</v>
      </c>
      <c r="F378" s="659" t="str">
        <f>VLOOKUP(A378,BountyData!$A:$K,2,FALSE)</f>
        <v>是</v>
      </c>
    </row>
    <row r="379" spans="1:6">
      <c r="A379" s="614" t="s">
        <v>4725</v>
      </c>
      <c r="B379" s="653" t="str">
        <f>VLOOKUP(A379,BountyData!$A:$K,3,FALSE)</f>
        <v>消灭紫怪</v>
      </c>
      <c r="C379" s="654" t="str">
        <f>VLOOKUP(A379,BountyData!$A:$K,$H$1+3,FALSE)</f>
        <v>悬赏任务：消灭潜伏</v>
      </c>
      <c r="D379" s="597" t="str">
        <f>VLOOKUP(A379,BountyData!$A:$K,8,FALSE)</f>
        <v>A5</v>
      </c>
      <c r="E379" s="283" t="str">
        <f>VLOOKUP(A379,BountyData!$A:$K,$H$1+8,FALSE)</f>
        <v>漫水古道</v>
      </c>
      <c r="F379" s="602" t="str">
        <f>VLOOKUP(A379,BountyData!$A:$K,2,FALSE)</f>
        <v>无数据</v>
      </c>
    </row>
    <row r="380" spans="1:6">
      <c r="A380" s="614" t="s">
        <v>4788</v>
      </c>
      <c r="B380" s="653" t="str">
        <f>VLOOKUP(A380,BountyData!$A:$K,3,FALSE)</f>
        <v>消灭紫怪</v>
      </c>
      <c r="C380" s="654" t="str">
        <f>VLOOKUP(A380,BountyData!$A:$K,$H$1+3,FALSE)</f>
        <v>悬赏任务：消灭巨兽莫古恩</v>
      </c>
      <c r="D380" s="597" t="str">
        <f>VLOOKUP(A380,BountyData!$A:$K,8,FALSE)</f>
        <v>A5</v>
      </c>
      <c r="E380" s="283" t="str">
        <f>VLOOKUP(A380,BountyData!$A:$K,$H$1+8,FALSE)</f>
        <v>漫水古道</v>
      </c>
      <c r="F380" s="659" t="str">
        <f>VLOOKUP(A380,BountyData!$A:$K,2,FALSE)</f>
        <v>是</v>
      </c>
    </row>
    <row r="381" spans="1:6">
      <c r="A381" s="614" t="s">
        <v>4792</v>
      </c>
      <c r="B381" s="653" t="str">
        <f>VLOOKUP(A381,BountyData!$A:$K,3,FALSE)</f>
        <v>消灭紫怪</v>
      </c>
      <c r="C381" s="654" t="str">
        <f>VLOOKUP(A381,BountyData!$A:$K,$H$1+3,FALSE)</f>
        <v>悬赏任务：消灭陷阱投掷兽</v>
      </c>
      <c r="D381" s="597" t="str">
        <f>VLOOKUP(A381,BountyData!$A:$K,8,FALSE)</f>
        <v>A5</v>
      </c>
      <c r="E381" s="283" t="str">
        <f>VLOOKUP(A381,BountyData!$A:$K,$H$1+8,FALSE)</f>
        <v>漫水古道</v>
      </c>
      <c r="F381" s="659" t="str">
        <f>VLOOKUP(A381,BountyData!$A:$K,2,FALSE)</f>
        <v>是</v>
      </c>
    </row>
    <row r="382" spans="1:6">
      <c r="A382" s="614" t="s">
        <v>4796</v>
      </c>
      <c r="B382" s="653" t="str">
        <f>VLOOKUP(A382,BountyData!$A:$K,3,FALSE)</f>
        <v>消灭紫怪</v>
      </c>
      <c r="C382" s="654" t="str">
        <f>VLOOKUP(A382,BountyData!$A:$K,$H$1+3,FALSE)</f>
        <v>悬赏任务：消灭塔达迪亚</v>
      </c>
      <c r="D382" s="597" t="str">
        <f>VLOOKUP(A382,BountyData!$A:$K,8,FALSE)</f>
        <v>A5</v>
      </c>
      <c r="E382" s="283" t="str">
        <f>VLOOKUP(A382,BountyData!$A:$K,$H$1+8,FALSE)</f>
        <v>漫水古道</v>
      </c>
      <c r="F382" s="659" t="str">
        <f>VLOOKUP(A382,BountyData!$A:$K,2,FALSE)</f>
        <v>是</v>
      </c>
    </row>
    <row r="383" spans="1:6">
      <c r="A383" s="614" t="s">
        <v>4682</v>
      </c>
      <c r="B383" s="653" t="str">
        <f>VLOOKUP(A383,BountyData!$A:$K,3,FALSE)</f>
        <v>消灭紫怪</v>
      </c>
      <c r="C383" s="654" t="str">
        <f>VLOOKUP(A383,BountyData!$A:$K,$H$1+3,FALSE)</f>
        <v>悬赏任务：消灭邪爪</v>
      </c>
      <c r="D383" s="597" t="str">
        <f>VLOOKUP(A383,BountyData!$A:$K,8,FALSE)</f>
        <v>A5</v>
      </c>
      <c r="E383" s="283" t="str">
        <f>VLOOKUP(A383,BountyData!$A:$K,$H$1+8,FALSE)</f>
        <v>漫水古道</v>
      </c>
      <c r="F383" s="659" t="str">
        <f>VLOOKUP(A383,BountyData!$A:$K,2,FALSE)</f>
        <v>是</v>
      </c>
    </row>
    <row r="384" spans="1:6">
      <c r="A384" s="614" t="s">
        <v>4863</v>
      </c>
      <c r="B384" s="651" t="str">
        <f>VLOOKUP(A384,BountyData!$A:$K,3,FALSE)</f>
        <v>完成事件</v>
      </c>
      <c r="C384" s="652" t="str">
        <f>VLOOKUP(A384,BountyData!$A:$K,$H$1+3,FALSE)</f>
        <v>悬赏任务：孵化室</v>
      </c>
      <c r="D384" s="597" t="str">
        <f>VLOOKUP(A384,BountyData!$A:$K,8,FALSE)</f>
        <v>A5</v>
      </c>
      <c r="E384" s="283" t="str">
        <f>VLOOKUP(A384,BountyData!$A:$K,$H$1+8,FALSE)</f>
        <v>往科乌斯之路</v>
      </c>
      <c r="F384" s="659" t="str">
        <f>VLOOKUP(A384,BountyData!$A:$K,2,FALSE)</f>
        <v>是</v>
      </c>
    </row>
    <row r="385" spans="1:6">
      <c r="A385" s="622" t="s">
        <v>6499</v>
      </c>
      <c r="B385" s="651" t="str">
        <f>VLOOKUP(A385,BountyData!$A:$K,3,FALSE)</f>
        <v>完成事件</v>
      </c>
      <c r="C385" s="652" t="str">
        <f>VLOOKUP(A385,BountyData!$A:$K,$H$1+3,FALSE)</f>
        <v>悬赏任务：藏宝室</v>
      </c>
      <c r="D385" s="597" t="str">
        <f>VLOOKUP(A385,BountyData!$A:$K,8,FALSE)</f>
        <v>A5</v>
      </c>
      <c r="E385" s="283" t="str">
        <f>VLOOKUP(A385,BountyData!$A:$K,$H$1+8,FALSE)</f>
        <v>往科乌斯之路</v>
      </c>
      <c r="F385" s="659" t="str">
        <f>VLOOKUP(A385,BountyData!$A:$K,2,FALSE)</f>
        <v>是</v>
      </c>
    </row>
    <row r="386" spans="1:6">
      <c r="A386" s="614" t="s">
        <v>4750</v>
      </c>
      <c r="B386" s="653" t="str">
        <f>VLOOKUP(A386,BountyData!$A:$K,3,FALSE)</f>
        <v>消灭紫怪</v>
      </c>
      <c r="C386" s="654" t="str">
        <f>VLOOKUP(A386,BountyData!$A:$K,$H$1+3,FALSE)</f>
        <v>悬赏任务：消灭卡尔莫</v>
      </c>
      <c r="D386" s="597" t="str">
        <f>VLOOKUP(A386,BountyData!$A:$K,8,FALSE)</f>
        <v>A5</v>
      </c>
      <c r="E386" s="283" t="str">
        <f>VLOOKUP(A386,BountyData!$A:$K,$H$1+8,FALSE)</f>
        <v>往科乌斯之路</v>
      </c>
      <c r="F386" s="602" t="str">
        <f>VLOOKUP(A386,BountyData!$A:$K,2,FALSE)</f>
        <v>2.4尚未启用</v>
      </c>
    </row>
    <row r="387" spans="1:6">
      <c r="A387" s="614" t="s">
        <v>4800</v>
      </c>
      <c r="B387" s="653" t="str">
        <f>VLOOKUP(A387,BountyData!$A:$K,3,FALSE)</f>
        <v>消灭紫怪</v>
      </c>
      <c r="C387" s="654" t="str">
        <f>VLOOKUP(A387,BountyData!$A:$K,$H$1+3,FALSE)</f>
        <v>悬赏任务：消灭维克·马鲁</v>
      </c>
      <c r="D387" s="597" t="str">
        <f>VLOOKUP(A387,BountyData!$A:$K,8,FALSE)</f>
        <v>A5</v>
      </c>
      <c r="E387" s="283" t="str">
        <f>VLOOKUP(A387,BountyData!$A:$K,$H$1+8,FALSE)</f>
        <v>往科乌斯之路</v>
      </c>
      <c r="F387" s="659" t="str">
        <f>VLOOKUP(A387,BountyData!$A:$K,2,FALSE)</f>
        <v>是</v>
      </c>
    </row>
    <row r="388" spans="1:6">
      <c r="A388" s="614" t="s">
        <v>4798</v>
      </c>
      <c r="B388" s="653" t="str">
        <f>VLOOKUP(A388,BountyData!$A:$K,3,FALSE)</f>
        <v>消灭紫怪</v>
      </c>
      <c r="C388" s="654" t="str">
        <f>VLOOKUP(A388,BountyData!$A:$K,$H$1+3,FALSE)</f>
        <v>悬赏任务：消灭维克·塔波克</v>
      </c>
      <c r="D388" s="597" t="str">
        <f>VLOOKUP(A388,BountyData!$A:$K,8,FALSE)</f>
        <v>A5</v>
      </c>
      <c r="E388" s="283" t="str">
        <f>VLOOKUP(A388,BountyData!$A:$K,$H$1+8,FALSE)</f>
        <v>往科乌斯之路</v>
      </c>
      <c r="F388" s="659" t="str">
        <f>VLOOKUP(A388,BountyData!$A:$K,2,FALSE)</f>
        <v>是</v>
      </c>
    </row>
    <row r="389" spans="1:6">
      <c r="A389" s="614" t="s">
        <v>4982</v>
      </c>
      <c r="B389" s="588" t="str">
        <f>VLOOKUP(A389,BountyData!$A:$K,3,FALSE)</f>
        <v>怪物全清</v>
      </c>
      <c r="C389" s="599" t="str">
        <f>VLOOKUP(A389,BountyData!$A:$K,$H$1+3,FALSE)</f>
        <v>悬赏任务：清理瘟疫地道</v>
      </c>
      <c r="D389" s="597" t="str">
        <f>VLOOKUP(A389,BountyData!$A:$K,8,FALSE)</f>
        <v>A5</v>
      </c>
      <c r="E389" s="283" t="str">
        <f>VLOOKUP(A389,BountyData!$A:$K,$H$1+8,FALSE)</f>
        <v>威斯特玛城中区</v>
      </c>
      <c r="F389" s="659" t="str">
        <f>VLOOKUP(A389,BountyData!$A:$K,2,FALSE)</f>
        <v>是</v>
      </c>
    </row>
    <row r="390" spans="1:6">
      <c r="A390" s="614" t="s">
        <v>5039</v>
      </c>
      <c r="B390" s="651" t="str">
        <f>VLOOKUP(A390,BountyData!$A:$K,3,FALSE)</f>
        <v>完成事件</v>
      </c>
      <c r="C390" s="652" t="str">
        <f>VLOOKUP(A390,BountyData!$A:$K,$H$1+3,FALSE)</f>
        <v>悬赏任务：火焰风暴</v>
      </c>
      <c r="D390" s="597" t="str">
        <f>VLOOKUP(A390,BountyData!$A:$K,8,FALSE)</f>
        <v>A5</v>
      </c>
      <c r="E390" s="283" t="str">
        <f>VLOOKUP(A390,BountyData!$A:$K,$H$1+8,FALSE)</f>
        <v>威斯特玛城中区</v>
      </c>
      <c r="F390" s="659" t="str">
        <f>VLOOKUP(A390,BountyData!$A:$K,2,FALSE)</f>
        <v>是</v>
      </c>
    </row>
    <row r="391" spans="1:6">
      <c r="A391" s="614" t="s">
        <v>4903</v>
      </c>
      <c r="B391" s="651" t="str">
        <f>VLOOKUP(A391,BountyData!$A:$K,3,FALSE)</f>
        <v>完成事件</v>
      </c>
      <c r="C391" s="652" t="str">
        <f>VLOOKUP(A391,BountyData!$A:$K,$H$1+3,FALSE)</f>
        <v>悬赏任务：耻辱之死</v>
      </c>
      <c r="D391" s="597" t="str">
        <f>VLOOKUP(A391,BountyData!$A:$K,8,FALSE)</f>
        <v>A5</v>
      </c>
      <c r="E391" s="283" t="str">
        <f>VLOOKUP(A391,BountyData!$A:$K,$H$1+8,FALSE)</f>
        <v>威斯特玛城中区</v>
      </c>
      <c r="F391" s="659" t="str">
        <f>VLOOKUP(A391,BountyData!$A:$K,2,FALSE)</f>
        <v>是</v>
      </c>
    </row>
    <row r="392" spans="1:6">
      <c r="A392" s="614" t="s">
        <v>5031</v>
      </c>
      <c r="B392" s="651" t="str">
        <f>VLOOKUP(A392,BountyData!$A:$K,3,FALSE)</f>
        <v>完成事件</v>
      </c>
      <c r="C392" s="652" t="str">
        <f>VLOOKUP(A392,BountyData!$A:$K,$H$1+3,FALSE)</f>
        <v>悬赏任务：诅咒广场</v>
      </c>
      <c r="D392" s="597" t="str">
        <f>VLOOKUP(A392,BountyData!$A:$K,8,FALSE)</f>
        <v>A5</v>
      </c>
      <c r="E392" s="283" t="str">
        <f>VLOOKUP(A392,BountyData!$A:$K,$H$1+8,FALSE)</f>
        <v>威斯特玛城中区</v>
      </c>
      <c r="F392" s="659" t="str">
        <f>VLOOKUP(A392,BountyData!$A:$K,2,FALSE)</f>
        <v>是</v>
      </c>
    </row>
    <row r="393" spans="1:6">
      <c r="A393" s="614" t="s">
        <v>4913</v>
      </c>
      <c r="B393" s="651" t="str">
        <f>VLOOKUP(A393,BountyData!$A:$K,3,FALSE)</f>
        <v>完成事件</v>
      </c>
      <c r="C393" s="652" t="str">
        <f>VLOOKUP(A393,BountyData!$A:$K,$H$1+3,FALSE)</f>
        <v>悬赏任务：趁火打劫</v>
      </c>
      <c r="D393" s="597" t="str">
        <f>VLOOKUP(A393,BountyData!$A:$K,8,FALSE)</f>
        <v>A5</v>
      </c>
      <c r="E393" s="283" t="str">
        <f>VLOOKUP(A393,BountyData!$A:$K,$H$1+8,FALSE)</f>
        <v>威斯特玛城中区</v>
      </c>
      <c r="F393" s="659" t="str">
        <f>VLOOKUP(A393,BountyData!$A:$K,2,FALSE)</f>
        <v>是</v>
      </c>
    </row>
    <row r="394" spans="1:6">
      <c r="A394" s="614" t="s">
        <v>4907</v>
      </c>
      <c r="B394" s="651" t="str">
        <f>VLOOKUP(A394,BountyData!$A:$K,3,FALSE)</f>
        <v>完成事件</v>
      </c>
      <c r="C394" s="652" t="str">
        <f>VLOOKUP(A394,BountyData!$A:$K,$H$1+3,FALSE)</f>
        <v>悬赏任务：农民造反</v>
      </c>
      <c r="D394" s="597" t="str">
        <f>VLOOKUP(A394,BountyData!$A:$K,8,FALSE)</f>
        <v>A5</v>
      </c>
      <c r="E394" s="283" t="str">
        <f>VLOOKUP(A394,BountyData!$A:$K,$H$1+8,FALSE)</f>
        <v>威斯特玛城中区</v>
      </c>
      <c r="F394" s="659" t="str">
        <f>VLOOKUP(A394,BountyData!$A:$K,2,FALSE)</f>
        <v>是</v>
      </c>
    </row>
    <row r="395" spans="1:6">
      <c r="A395" s="614" t="s">
        <v>4909</v>
      </c>
      <c r="B395" s="651" t="str">
        <f>VLOOKUP(A395,BountyData!$A:$K,3,FALSE)</f>
        <v>完成事件</v>
      </c>
      <c r="C395" s="652" t="str">
        <f>VLOOKUP(A395,BountyData!$A:$K,$H$1+3,FALSE)</f>
        <v>悬赏任务：贵族之死</v>
      </c>
      <c r="D395" s="597" t="str">
        <f>VLOOKUP(A395,BountyData!$A:$K,8,FALSE)</f>
        <v>A5</v>
      </c>
      <c r="E395" s="283" t="str">
        <f>VLOOKUP(A395,BountyData!$A:$K,$H$1+8,FALSE)</f>
        <v>威斯特玛城中区</v>
      </c>
      <c r="F395" s="659" t="str">
        <f>VLOOKUP(A395,BountyData!$A:$K,2,FALSE)</f>
        <v>是</v>
      </c>
    </row>
    <row r="396" spans="1:6">
      <c r="A396" s="614" t="s">
        <v>4917</v>
      </c>
      <c r="B396" s="651" t="str">
        <f>VLOOKUP(A396,BountyData!$A:$K,3,FALSE)</f>
        <v>完成事件</v>
      </c>
      <c r="C396" s="652" t="str">
        <f>VLOOKUP(A396,BountyData!$A:$K,$H$1+3,FALSE)</f>
        <v>悬赏任务：魔法暴走</v>
      </c>
      <c r="D396" s="597" t="str">
        <f>VLOOKUP(A396,BountyData!$A:$K,8,FALSE)</f>
        <v>A5</v>
      </c>
      <c r="E396" s="283" t="str">
        <f>VLOOKUP(A396,BountyData!$A:$K,$H$1+8,FALSE)</f>
        <v>威斯特玛城中区</v>
      </c>
      <c r="F396" s="659" t="str">
        <f>VLOOKUP(A396,BountyData!$A:$K,2,FALSE)</f>
        <v>是</v>
      </c>
    </row>
    <row r="397" spans="1:6">
      <c r="A397" s="614" t="s">
        <v>4899</v>
      </c>
      <c r="B397" s="651" t="str">
        <f>VLOOKUP(A397,BountyData!$A:$K,3,FALSE)</f>
        <v>完成事件</v>
      </c>
      <c r="C397" s="652" t="str">
        <f>VLOOKUP(A397,BountyData!$A:$K,$H$1+3,FALSE)</f>
        <v>悬赏任务：死灵法师的抉择</v>
      </c>
      <c r="D397" s="597" t="str">
        <f>VLOOKUP(A397,BountyData!$A:$K,8,FALSE)</f>
        <v>A5</v>
      </c>
      <c r="E397" s="283" t="str">
        <f>VLOOKUP(A397,BountyData!$A:$K,$H$1+8,FALSE)</f>
        <v>威斯特玛城中区</v>
      </c>
      <c r="F397" s="659" t="str">
        <f>VLOOKUP(A397,BountyData!$A:$K,2,FALSE)</f>
        <v>是</v>
      </c>
    </row>
    <row r="398" spans="1:6">
      <c r="A398" s="614" t="s">
        <v>4915</v>
      </c>
      <c r="B398" s="651" t="str">
        <f>VLOOKUP(A398,BountyData!$A:$K,3,FALSE)</f>
        <v>完成事件</v>
      </c>
      <c r="C398" s="652" t="str">
        <f>VLOOKUP(A398,BountyData!$A:$K,$H$1+3,FALSE)</f>
        <v>悬赏任务：重生的邪教徒</v>
      </c>
      <c r="D398" s="597" t="str">
        <f>VLOOKUP(A398,BountyData!$A:$K,8,FALSE)</f>
        <v>A5</v>
      </c>
      <c r="E398" s="283" t="str">
        <f>VLOOKUP(A398,BountyData!$A:$K,$H$1+8,FALSE)</f>
        <v>威斯特玛城中区</v>
      </c>
      <c r="F398" s="659" t="str">
        <f>VLOOKUP(A398,BountyData!$A:$K,2,FALSE)</f>
        <v>是</v>
      </c>
    </row>
    <row r="399" spans="1:6">
      <c r="A399" s="614" t="s">
        <v>4726</v>
      </c>
      <c r="B399" s="651" t="str">
        <f>VLOOKUP(A399,BountyData!$A:$K,3,FALSE)</f>
        <v>完成事件</v>
      </c>
      <c r="C399" s="652" t="str">
        <f>VLOOKUP(A399,BountyData!$A:$K,$H$1+3,FALSE)</f>
        <v>悬赏任务：被激怒的亡者</v>
      </c>
      <c r="D399" s="597" t="str">
        <f>VLOOKUP(A399,BountyData!$A:$K,8,FALSE)</f>
        <v>A5</v>
      </c>
      <c r="E399" s="283" t="str">
        <f>VLOOKUP(A399,BountyData!$A:$K,$H$1+8,FALSE)</f>
        <v>威斯特玛城中区</v>
      </c>
      <c r="F399" s="659" t="str">
        <f>VLOOKUP(A399,BountyData!$A:$K,2,FALSE)</f>
        <v>是</v>
      </c>
    </row>
    <row r="400" spans="1:6">
      <c r="A400" s="614" t="s">
        <v>4729</v>
      </c>
      <c r="B400" s="651" t="str">
        <f>VLOOKUP(A400,BountyData!$A:$K,3,FALSE)</f>
        <v>完成事件</v>
      </c>
      <c r="C400" s="652" t="str">
        <f>VLOOKUP(A400,BountyData!$A:$K,$H$1+3,FALSE)</f>
        <v>悬赏任务：收割者</v>
      </c>
      <c r="D400" s="597" t="str">
        <f>VLOOKUP(A400,BountyData!$A:$K,8,FALSE)</f>
        <v>A5</v>
      </c>
      <c r="E400" s="283" t="str">
        <f>VLOOKUP(A400,BountyData!$A:$K,$H$1+8,FALSE)</f>
        <v>威斯特玛城中区</v>
      </c>
      <c r="F400" s="659" t="str">
        <f>VLOOKUP(A400,BountyData!$A:$K,2,FALSE)</f>
        <v>是</v>
      </c>
    </row>
    <row r="401" spans="1:6">
      <c r="A401" s="614" t="s">
        <v>4905</v>
      </c>
      <c r="B401" s="651" t="str">
        <f>VLOOKUP(A401,BountyData!$A:$K,3,FALSE)</f>
        <v>完成事件</v>
      </c>
      <c r="C401" s="652" t="str">
        <f>VLOOKUP(A401,BountyData!$A:$K,$H$1+3,FALSE)</f>
        <v>悬赏任务：背水一战</v>
      </c>
      <c r="D401" s="597" t="str">
        <f>VLOOKUP(A401,BountyData!$A:$K,8,FALSE)</f>
        <v>A5</v>
      </c>
      <c r="E401" s="283" t="str">
        <f>VLOOKUP(A401,BountyData!$A:$K,$H$1+8,FALSE)</f>
        <v>威斯特玛城中区</v>
      </c>
      <c r="F401" s="659" t="str">
        <f>VLOOKUP(A401,BountyData!$A:$K,2,FALSE)</f>
        <v>是</v>
      </c>
    </row>
    <row r="402" spans="1:6">
      <c r="A402" s="614" t="s">
        <v>4901</v>
      </c>
      <c r="B402" s="651" t="str">
        <f>VLOOKUP(A402,BountyData!$A:$K,3,FALSE)</f>
        <v>完成事件</v>
      </c>
      <c r="C402" s="652" t="str">
        <f>VLOOKUP(A402,BountyData!$A:$K,$H$1+3,FALSE)</f>
        <v>悬赏任务：守财奴的遗嘱</v>
      </c>
      <c r="D402" s="597" t="str">
        <f>VLOOKUP(A402,BountyData!$A:$K,8,FALSE)</f>
        <v>A5</v>
      </c>
      <c r="E402" s="283" t="str">
        <f>VLOOKUP(A402,BountyData!$A:$K,$H$1+8,FALSE)</f>
        <v>威斯特玛城中区</v>
      </c>
      <c r="F402" s="659" t="str">
        <f>VLOOKUP(A402,BountyData!$A:$K,2,FALSE)</f>
        <v>是</v>
      </c>
    </row>
    <row r="403" spans="1:6">
      <c r="A403" s="614" t="s">
        <v>4734</v>
      </c>
      <c r="B403" s="651" t="str">
        <f>VLOOKUP(A403,BountyData!$A:$K,3,FALSE)</f>
        <v>完成事件</v>
      </c>
      <c r="C403" s="652" t="str">
        <f>VLOOKUP(A403,BountyData!$A:$K,$H$1+3,FALSE)</f>
        <v>悬赏任务：托里弗的最后一战</v>
      </c>
      <c r="D403" s="597" t="str">
        <f>VLOOKUP(A403,BountyData!$A:$K,8,FALSE)</f>
        <v>A5</v>
      </c>
      <c r="E403" s="283" t="str">
        <f>VLOOKUP(A403,BountyData!$A:$K,$H$1+8,FALSE)</f>
        <v>威斯特玛城中区</v>
      </c>
      <c r="F403" s="659" t="str">
        <f>VLOOKUP(A403,BountyData!$A:$K,2,FALSE)</f>
        <v>是</v>
      </c>
    </row>
    <row r="404" spans="1:6">
      <c r="A404" s="614" t="s">
        <v>4730</v>
      </c>
      <c r="B404" s="651" t="str">
        <f>VLOOKUP(A404,BountyData!$A:$K,3,FALSE)</f>
        <v>完成事件</v>
      </c>
      <c r="C404" s="652" t="str">
        <f>VLOOKUP(A404,BountyData!$A:$K,$H$1+3,FALSE)</f>
        <v>悬赏任务：死神之触</v>
      </c>
      <c r="D404" s="597" t="str">
        <f>VLOOKUP(A404,BountyData!$A:$K,8,FALSE)</f>
        <v>A5</v>
      </c>
      <c r="E404" s="283" t="str">
        <f>VLOOKUP(A404,BountyData!$A:$K,$H$1+8,FALSE)</f>
        <v>威斯特玛城中区</v>
      </c>
      <c r="F404" s="659" t="str">
        <f>VLOOKUP(A404,BountyData!$A:$K,2,FALSE)</f>
        <v>是</v>
      </c>
    </row>
    <row r="405" spans="1:6">
      <c r="A405" s="614" t="s">
        <v>4911</v>
      </c>
      <c r="B405" s="651" t="str">
        <f>VLOOKUP(A405,BountyData!$A:$K,3,FALSE)</f>
        <v>完成事件</v>
      </c>
      <c r="C405" s="652" t="str">
        <f>VLOOKUP(A405,BountyData!$A:$K,$H$1+3,FALSE)</f>
        <v>悬赏任务：失踪的巡逻兵</v>
      </c>
      <c r="D405" s="597" t="str">
        <f>VLOOKUP(A405,BountyData!$A:$K,8,FALSE)</f>
        <v>A5</v>
      </c>
      <c r="E405" s="283" t="str">
        <f>VLOOKUP(A405,BountyData!$A:$K,$H$1+8,FALSE)</f>
        <v>威斯特玛城中区</v>
      </c>
      <c r="F405" s="659" t="str">
        <f>VLOOKUP(A405,BountyData!$A:$K,2,FALSE)</f>
        <v>是</v>
      </c>
    </row>
    <row r="406" spans="1:6">
      <c r="A406" s="614" t="s">
        <v>4732</v>
      </c>
      <c r="B406" s="651" t="str">
        <f>VLOOKUP(A406,BountyData!$A:$K,3,FALSE)</f>
        <v>完成事件</v>
      </c>
      <c r="C406" s="652" t="str">
        <f>VLOOKUP(A406,BountyData!$A:$K,$H$1+3,FALSE)</f>
        <v>悬赏任务：闲庭信步</v>
      </c>
      <c r="D406" s="597" t="str">
        <f>VLOOKUP(A406,BountyData!$A:$K,8,FALSE)</f>
        <v>A5</v>
      </c>
      <c r="E406" s="283" t="str">
        <f>VLOOKUP(A406,BountyData!$A:$K,$H$1+8,FALSE)</f>
        <v>威斯特玛城中区</v>
      </c>
      <c r="F406" s="659" t="str">
        <f>VLOOKUP(A406,BountyData!$A:$K,2,FALSE)</f>
        <v>是</v>
      </c>
    </row>
    <row r="407" spans="1:6">
      <c r="A407" s="614" t="s">
        <v>4929</v>
      </c>
      <c r="B407" s="653" t="str">
        <f>VLOOKUP(A407,BountyData!$A:$K,3,FALSE)</f>
        <v>消灭紫怪</v>
      </c>
      <c r="C407" s="654" t="str">
        <f>VLOOKUP(A407,BountyData!$A:$K,$H$1+3,FALSE)</f>
        <v>悬赏任务：消灭基伯队长</v>
      </c>
      <c r="D407" s="597" t="str">
        <f>VLOOKUP(A407,BountyData!$A:$K,8,FALSE)</f>
        <v>A5</v>
      </c>
      <c r="E407" s="283" t="str">
        <f>VLOOKUP(A407,BountyData!$A:$K,$H$1+8,FALSE)</f>
        <v>威斯特玛城中区</v>
      </c>
      <c r="F407" s="659" t="str">
        <f>VLOOKUP(A407,BountyData!$A:$K,2,FALSE)</f>
        <v>是</v>
      </c>
    </row>
    <row r="408" spans="1:6">
      <c r="A408" s="614" t="s">
        <v>4927</v>
      </c>
      <c r="B408" s="653" t="str">
        <f>VLOOKUP(A408,BountyData!$A:$K,3,FALSE)</f>
        <v>消灭紫怪</v>
      </c>
      <c r="C408" s="654" t="str">
        <f>VLOOKUP(A408,BountyData!$A:$K,$H$1+3,FALSE)</f>
        <v>悬赏任务：消灭达尔·霍松</v>
      </c>
      <c r="D408" s="597" t="str">
        <f>VLOOKUP(A408,BountyData!$A:$K,8,FALSE)</f>
        <v>A5</v>
      </c>
      <c r="E408" s="283" t="str">
        <f>VLOOKUP(A408,BountyData!$A:$K,$H$1+8,FALSE)</f>
        <v>威斯特玛城中区</v>
      </c>
      <c r="F408" s="659" t="str">
        <f>VLOOKUP(A408,BountyData!$A:$K,2,FALSE)</f>
        <v>是</v>
      </c>
    </row>
    <row r="409" spans="1:6">
      <c r="A409" s="614" t="s">
        <v>4810</v>
      </c>
      <c r="B409" s="653" t="str">
        <f>VLOOKUP(A409,BountyData!$A:$K,3,FALSE)</f>
        <v>消灭紫怪</v>
      </c>
      <c r="C409" s="654" t="str">
        <f>VLOOKUP(A409,BountyData!$A:$K,$H$1+3,FALSE)</f>
        <v>悬赏任务：消灭葛茨罗德</v>
      </c>
      <c r="D409" s="597" t="str">
        <f>VLOOKUP(A409,BountyData!$A:$K,8,FALSE)</f>
        <v>A5</v>
      </c>
      <c r="E409" s="283" t="str">
        <f>VLOOKUP(A409,BountyData!$A:$K,$H$1+8,FALSE)</f>
        <v>威斯特玛城中区</v>
      </c>
      <c r="F409" s="659" t="str">
        <f>VLOOKUP(A409,BountyData!$A:$K,2,FALSE)</f>
        <v>是</v>
      </c>
    </row>
    <row r="410" spans="1:6">
      <c r="A410" s="614" t="s">
        <v>4931</v>
      </c>
      <c r="B410" s="653" t="str">
        <f>VLOOKUP(A410,BountyData!$A:$K,3,FALSE)</f>
        <v>消灭紫怪</v>
      </c>
      <c r="C410" s="654" t="str">
        <f>VLOOKUP(A410,BountyData!$A:$K,$H$1+3,FALSE)</f>
        <v>悬赏任务：消灭伊格·斯塔弗斯</v>
      </c>
      <c r="D410" s="597" t="str">
        <f>VLOOKUP(A410,BountyData!$A:$K,8,FALSE)</f>
        <v>A5</v>
      </c>
      <c r="E410" s="283" t="str">
        <f>VLOOKUP(A410,BountyData!$A:$K,$H$1+8,FALSE)</f>
        <v>威斯特玛城中区</v>
      </c>
      <c r="F410" s="659" t="str">
        <f>VLOOKUP(A410,BountyData!$A:$K,2,FALSE)</f>
        <v>是</v>
      </c>
    </row>
    <row r="411" spans="1:6">
      <c r="A411" s="614" t="s">
        <v>4737</v>
      </c>
      <c r="B411" s="653" t="str">
        <f>VLOOKUP(A411,BountyData!$A:$K,3,FALSE)</f>
        <v>消灭紫怪</v>
      </c>
      <c r="C411" s="654" t="str">
        <f>VLOOKUP(A411,BountyData!$A:$K,$H$1+3,FALSE)</f>
        <v>悬赏任务：消灭狡猾的卡戈</v>
      </c>
      <c r="D411" s="597" t="str">
        <f>VLOOKUP(A411,BountyData!$A:$K,8,FALSE)</f>
        <v>A5</v>
      </c>
      <c r="E411" s="283" t="str">
        <f>VLOOKUP(A411,BountyData!$A:$K,$H$1+8,FALSE)</f>
        <v>威斯特玛城中区</v>
      </c>
      <c r="F411" s="602" t="str">
        <f>VLOOKUP(A411,BountyData!$A:$K,2,FALSE)</f>
        <v>2.4尚未启用</v>
      </c>
    </row>
    <row r="412" spans="1:6">
      <c r="A412" s="614" t="s">
        <v>4813</v>
      </c>
      <c r="B412" s="653" t="str">
        <f>VLOOKUP(A412,BountyData!$A:$K,3,FALSE)</f>
        <v>消灭紫怪</v>
      </c>
      <c r="C412" s="654" t="str">
        <f>VLOOKUP(A412,BountyData!$A:$K,$H$1+3,FALSE)</f>
        <v>悬赏任务：消灭凯瑟琳·拜兹</v>
      </c>
      <c r="D412" s="597" t="str">
        <f>VLOOKUP(A412,BountyData!$A:$K,8,FALSE)</f>
        <v>A5</v>
      </c>
      <c r="E412" s="283" t="str">
        <f>VLOOKUP(A412,BountyData!$A:$K,$H$1+8,FALSE)</f>
        <v>威斯特玛城中区</v>
      </c>
      <c r="F412" s="659" t="str">
        <f>VLOOKUP(A412,BountyData!$A:$K,2,FALSE)</f>
        <v>是</v>
      </c>
    </row>
    <row r="413" spans="1:6">
      <c r="A413" s="614" t="s">
        <v>4815</v>
      </c>
      <c r="B413" s="653" t="str">
        <f>VLOOKUP(A413,BountyData!$A:$K,3,FALSE)</f>
        <v>消灭紫怪</v>
      </c>
      <c r="C413" s="654" t="str">
        <f>VLOOKUP(A413,BountyData!$A:$K,$H$1+3,FALSE)</f>
        <v>悬赏任务：消灭可憎的玛坦萨斯</v>
      </c>
      <c r="D413" s="597" t="str">
        <f>VLOOKUP(A413,BountyData!$A:$K,8,FALSE)</f>
        <v>A5</v>
      </c>
      <c r="E413" s="283" t="str">
        <f>VLOOKUP(A413,BountyData!$A:$K,$H$1+8,FALSE)</f>
        <v>威斯特玛城中区</v>
      </c>
      <c r="F413" s="659" t="str">
        <f>VLOOKUP(A413,BountyData!$A:$K,2,FALSE)</f>
        <v>是</v>
      </c>
    </row>
    <row r="414" spans="1:6">
      <c r="A414" s="614" t="s">
        <v>4736</v>
      </c>
      <c r="B414" s="653" t="str">
        <f>VLOOKUP(A414,BountyData!$A:$K,3,FALSE)</f>
        <v>消灭紫怪</v>
      </c>
      <c r="C414" s="654" t="str">
        <f>VLOOKUP(A414,BountyData!$A:$K,$H$1+3,FALSE)</f>
        <v>悬赏任务：消灭庞提乌斯</v>
      </c>
      <c r="D414" s="597" t="str">
        <f>VLOOKUP(A414,BountyData!$A:$K,8,FALSE)</f>
        <v>A5</v>
      </c>
      <c r="E414" s="283" t="str">
        <f>VLOOKUP(A414,BountyData!$A:$K,$H$1+8,FALSE)</f>
        <v>威斯特玛城中区</v>
      </c>
      <c r="F414" s="602" t="str">
        <f>VLOOKUP(A414,BountyData!$A:$K,2,FALSE)</f>
        <v>2.4尚未启用</v>
      </c>
    </row>
    <row r="415" spans="1:6">
      <c r="A415" s="614" t="s">
        <v>4811</v>
      </c>
      <c r="B415" s="653" t="str">
        <f>VLOOKUP(A415,BountyData!$A:$K,3,FALSE)</f>
        <v>消灭紫怪</v>
      </c>
      <c r="C415" s="654" t="str">
        <f>VLOOKUP(A415,BountyData!$A:$K,$H$1+3,FALSE)</f>
        <v>悬赏任务：消灭耶加切夫</v>
      </c>
      <c r="D415" s="597" t="str">
        <f>VLOOKUP(A415,BountyData!$A:$K,8,FALSE)</f>
        <v>A5</v>
      </c>
      <c r="E415" s="283" t="str">
        <f>VLOOKUP(A415,BountyData!$A:$K,$H$1+8,FALSE)</f>
        <v>威斯特玛城中区</v>
      </c>
      <c r="F415" s="659" t="str">
        <f>VLOOKUP(A415,BountyData!$A:$K,2,FALSE)</f>
        <v>是</v>
      </c>
    </row>
    <row r="416" spans="1:6">
      <c r="A416" s="614" t="s">
        <v>5069</v>
      </c>
      <c r="B416" s="588" t="str">
        <f>VLOOKUP(A416,BountyData!$A:$K,3,FALSE)</f>
        <v>怪物全清</v>
      </c>
      <c r="C416" s="599" t="str">
        <f>VLOOKUP(A416,BountyData!$A:$K,$H$1+3,FALSE)</f>
        <v>悬赏任务：清理公会老巢</v>
      </c>
      <c r="D416" s="597" t="str">
        <f>VLOOKUP(A416,BountyData!$A:$K,8,FALSE)</f>
        <v>A5</v>
      </c>
      <c r="E416" s="283" t="str">
        <f>VLOOKUP(A416,BountyData!$A:$K,$H$1+8,FALSE)</f>
        <v>威斯特玛上城区</v>
      </c>
      <c r="F416" s="659" t="str">
        <f>VLOOKUP(A416,BountyData!$A:$K,2,FALSE)</f>
        <v>是</v>
      </c>
    </row>
    <row r="417" spans="1:6">
      <c r="A417" s="614" t="s">
        <v>4984</v>
      </c>
      <c r="B417" s="588" t="str">
        <f>VLOOKUP(A417,BountyData!$A:$K,3,FALSE)</f>
        <v>怪物全清</v>
      </c>
      <c r="C417" s="599" t="str">
        <f>VLOOKUP(A417,BountyData!$A:$K,$H$1+3,FALSE)</f>
        <v>悬赏任务：清理骸骨地窖</v>
      </c>
      <c r="D417" s="597" t="str">
        <f>VLOOKUP(A417,BountyData!$A:$K,8,FALSE)</f>
        <v>A5</v>
      </c>
      <c r="E417" s="283" t="str">
        <f>VLOOKUP(A417,BountyData!$A:$K,$H$1+8,FALSE)</f>
        <v>威斯特玛上城区</v>
      </c>
      <c r="F417" s="659" t="str">
        <f>VLOOKUP(A417,BountyData!$A:$K,2,FALSE)</f>
        <v>是</v>
      </c>
    </row>
    <row r="418" spans="1:6">
      <c r="A418" s="614" t="s">
        <v>6384</v>
      </c>
      <c r="B418" s="589" t="str">
        <f>VLOOKUP(A418,BountyData!$A:$K,3,FALSE)</f>
        <v>扫荡野营</v>
      </c>
      <c r="C418" s="600" t="str">
        <f>VLOOKUP(A418,BountyData!$A:$K,$H$1+3,FALSE)</f>
        <v>悬赏任务：死亡之拥</v>
      </c>
      <c r="D418" s="597" t="str">
        <f>VLOOKUP(A418,BountyData!$A:$K,8,FALSE)</f>
        <v>A5</v>
      </c>
      <c r="E418" s="283" t="str">
        <f>VLOOKUP(A418,BountyData!$A:$K,$H$1+8,FALSE)</f>
        <v>威斯特玛上城区</v>
      </c>
      <c r="F418" s="659" t="str">
        <f>VLOOKUP(A418,BountyData!$A:$K,2,FALSE)</f>
        <v>是</v>
      </c>
    </row>
    <row r="419" spans="1:6">
      <c r="A419" s="614" t="s">
        <v>5037</v>
      </c>
      <c r="B419" s="651" t="str">
        <f>VLOOKUP(A419,BountyData!$A:$K,3,FALSE)</f>
        <v>完成事件</v>
      </c>
      <c r="C419" s="652" t="str">
        <f>VLOOKUP(A419,BountyData!$A:$K,$H$1+3,FALSE)</f>
        <v>悬赏任务：诅咒白骨坑</v>
      </c>
      <c r="D419" s="597" t="str">
        <f>VLOOKUP(A419,BountyData!$A:$K,8,FALSE)</f>
        <v>A5</v>
      </c>
      <c r="E419" s="283" t="str">
        <f>VLOOKUP(A419,BountyData!$A:$K,$H$1+8,FALSE)</f>
        <v>威斯特玛上城区</v>
      </c>
      <c r="F419" s="659" t="str">
        <f>VLOOKUP(A419,BountyData!$A:$K,2,FALSE)</f>
        <v>是</v>
      </c>
    </row>
    <row r="420" spans="1:6">
      <c r="A420" s="614" t="s">
        <v>4743</v>
      </c>
      <c r="B420" s="651" t="str">
        <f>VLOOKUP(A420,BountyData!$A:$K,3,FALSE)</f>
        <v>完成事件</v>
      </c>
      <c r="C420" s="652" t="str">
        <f>VLOOKUP(A420,BountyData!$A:$K,$H$1+3,FALSE)</f>
        <v>悬赏任务：逃离火海</v>
      </c>
      <c r="D420" s="597" t="str">
        <f>VLOOKUP(A420,BountyData!$A:$K,8,FALSE)</f>
        <v>A5</v>
      </c>
      <c r="E420" s="283" t="str">
        <f>VLOOKUP(A420,BountyData!$A:$K,$H$1+8,FALSE)</f>
        <v>威斯特玛上城区</v>
      </c>
      <c r="F420" s="659" t="str">
        <f>VLOOKUP(A420,BountyData!$A:$K,2,FALSE)</f>
        <v>是</v>
      </c>
    </row>
    <row r="421" spans="1:6">
      <c r="A421" s="614" t="s">
        <v>4923</v>
      </c>
      <c r="B421" s="651" t="str">
        <f>VLOOKUP(A421,BountyData!$A:$K,3,FALSE)</f>
        <v>完成事件</v>
      </c>
      <c r="C421" s="652" t="str">
        <f>VLOOKUP(A421,BountyData!$A:$K,$H$1+3,FALSE)</f>
        <v>悬赏任务：找回记忆</v>
      </c>
      <c r="D421" s="597" t="str">
        <f>VLOOKUP(A421,BountyData!$A:$K,8,FALSE)</f>
        <v>A5</v>
      </c>
      <c r="E421" s="283" t="str">
        <f>VLOOKUP(A421,BountyData!$A:$K,$H$1+8,FALSE)</f>
        <v>威斯特玛上城区</v>
      </c>
      <c r="F421" s="659" t="str">
        <f>VLOOKUP(A421,BountyData!$A:$K,2,FALSE)</f>
        <v>是</v>
      </c>
    </row>
    <row r="422" spans="1:6">
      <c r="A422" s="614" t="s">
        <v>4921</v>
      </c>
      <c r="B422" s="651" t="str">
        <f>VLOOKUP(A422,BountyData!$A:$K,3,FALSE)</f>
        <v>完成事件</v>
      </c>
      <c r="C422" s="652" t="str">
        <f>VLOOKUP(A422,BountyData!$A:$K,$H$1+3,FALSE)</f>
        <v>悬赏任务：捉迷藏</v>
      </c>
      <c r="D422" s="597" t="str">
        <f>VLOOKUP(A422,BountyData!$A:$K,8,FALSE)</f>
        <v>A5</v>
      </c>
      <c r="E422" s="283" t="str">
        <f>VLOOKUP(A422,BountyData!$A:$K,$H$1+8,FALSE)</f>
        <v>威斯特玛上城区</v>
      </c>
      <c r="F422" s="659" t="str">
        <f>VLOOKUP(A422,BountyData!$A:$K,2,FALSE)</f>
        <v>是</v>
      </c>
    </row>
    <row r="423" spans="1:6">
      <c r="A423" s="614" t="s">
        <v>4919</v>
      </c>
      <c r="B423" s="651" t="str">
        <f>VLOOKUP(A423,BountyData!$A:$K,3,FALSE)</f>
        <v>完成事件</v>
      </c>
      <c r="C423" s="652" t="str">
        <f>VLOOKUP(A423,BountyData!$A:$K,$H$1+3,FALSE)</f>
        <v>悬赏任务：狼王真子</v>
      </c>
      <c r="D423" s="597" t="str">
        <f>VLOOKUP(A423,BountyData!$A:$K,8,FALSE)</f>
        <v>A5</v>
      </c>
      <c r="E423" s="283" t="str">
        <f>VLOOKUP(A423,BountyData!$A:$K,$H$1+8,FALSE)</f>
        <v>威斯特玛上城区</v>
      </c>
      <c r="F423" s="659" t="str">
        <f>VLOOKUP(A423,BountyData!$A:$K,2,FALSE)</f>
        <v>是</v>
      </c>
    </row>
    <row r="424" spans="1:6">
      <c r="A424" s="614" t="s">
        <v>4925</v>
      </c>
      <c r="B424" s="651" t="str">
        <f>VLOOKUP(A424,BountyData!$A:$K,3,FALSE)</f>
        <v>完成事件</v>
      </c>
      <c r="C424" s="652" t="str">
        <f>VLOOKUP(A424,BountyData!$A:$K,$H$1+3,FALSE)</f>
        <v>悬赏任务：害虫问题</v>
      </c>
      <c r="D424" s="597" t="str">
        <f>VLOOKUP(A424,BountyData!$A:$K,8,FALSE)</f>
        <v>A5</v>
      </c>
      <c r="E424" s="283" t="str">
        <f>VLOOKUP(A424,BountyData!$A:$K,$H$1+8,FALSE)</f>
        <v>威斯特玛上城区</v>
      </c>
      <c r="F424" s="659" t="str">
        <f>VLOOKUP(A424,BountyData!$A:$K,2,FALSE)</f>
        <v>是</v>
      </c>
    </row>
    <row r="425" spans="1:6">
      <c r="A425" s="614" t="s">
        <v>6391</v>
      </c>
      <c r="B425" s="590" t="str">
        <f>VLOOKUP(A425,BountyData!$A:$K,3,FALSE)</f>
        <v>消灭首领</v>
      </c>
      <c r="C425" s="601" t="str">
        <f>VLOOKUP(A425,BountyData!$A:$K,$H$1+3,FALSE)</f>
        <v>悬赏任务：消灭厄兹尔</v>
      </c>
      <c r="D425" s="597" t="str">
        <f>VLOOKUP(A425,BountyData!$A:$K,8,FALSE)</f>
        <v>A5</v>
      </c>
      <c r="E425" s="283" t="str">
        <f>VLOOKUP(A425,BountyData!$A:$K,$H$1+8,FALSE)</f>
        <v>威斯特玛上城区</v>
      </c>
      <c r="F425" s="659" t="str">
        <f>VLOOKUP(A425,BountyData!$A:$K,2,FALSE)</f>
        <v>是</v>
      </c>
    </row>
    <row r="426" spans="1:6">
      <c r="A426" s="614" t="s">
        <v>5071</v>
      </c>
      <c r="B426" s="653" t="str">
        <f>VLOOKUP(A426,BountyData!$A:$K,3,FALSE)</f>
        <v>消灭紫怪</v>
      </c>
      <c r="C426" s="654" t="str">
        <f>VLOOKUP(A426,BountyData!$A:$K,$H$1+3,FALSE)</f>
        <v>悬赏任务：消灭布伦特·布林顿</v>
      </c>
      <c r="D426" s="597" t="str">
        <f>VLOOKUP(A426,BountyData!$A:$K,8,FALSE)</f>
        <v>A5</v>
      </c>
      <c r="E426" s="283" t="str">
        <f>VLOOKUP(A426,BountyData!$A:$K,$H$1+8,FALSE)</f>
        <v>威斯特玛上城区</v>
      </c>
      <c r="F426" s="659" t="str">
        <f>VLOOKUP(A426,BountyData!$A:$K,2,FALSE)</f>
        <v>是</v>
      </c>
    </row>
    <row r="427" spans="1:6">
      <c r="A427" s="614" t="s">
        <v>5075</v>
      </c>
      <c r="B427" s="653" t="str">
        <f>VLOOKUP(A427,BountyData!$A:$K,3,FALSE)</f>
        <v>消灭紫怪</v>
      </c>
      <c r="C427" s="654" t="str">
        <f>VLOOKUP(A427,BountyData!$A:$K,$H$1+3,FALSE)</f>
        <v>悬赏任务：消灭德尼斯·吉内斯特</v>
      </c>
      <c r="D427" s="597" t="str">
        <f>VLOOKUP(A427,BountyData!$A:$K,8,FALSE)</f>
        <v>A5</v>
      </c>
      <c r="E427" s="283" t="str">
        <f>VLOOKUP(A427,BountyData!$A:$K,$H$1+8,FALSE)</f>
        <v>威斯特玛上城区</v>
      </c>
      <c r="F427" s="659" t="str">
        <f>VLOOKUP(A427,BountyData!$A:$K,2,FALSE)</f>
        <v>是</v>
      </c>
    </row>
    <row r="428" spans="1:6">
      <c r="A428" s="614" t="s">
        <v>4742</v>
      </c>
      <c r="B428" s="653" t="str">
        <f>VLOOKUP(A428,BountyData!$A:$K,3,FALSE)</f>
        <v>消灭紫怪</v>
      </c>
      <c r="C428" s="654" t="str">
        <f>VLOOKUP(A428,BountyData!$A:$K,$H$1+3,FALSE)</f>
        <v>悬赏任务：消灭格伦图洛斯</v>
      </c>
      <c r="D428" s="597" t="str">
        <f>VLOOKUP(A428,BountyData!$A:$K,8,FALSE)</f>
        <v>A5</v>
      </c>
      <c r="E428" s="283" t="str">
        <f>VLOOKUP(A428,BountyData!$A:$K,$H$1+8,FALSE)</f>
        <v>威斯特玛上城区</v>
      </c>
      <c r="F428" s="602" t="str">
        <f>VLOOKUP(A428,BountyData!$A:$K,2,FALSE)</f>
        <v>2.4尚未启用</v>
      </c>
    </row>
    <row r="429" spans="1:6">
      <c r="A429" s="614" t="s">
        <v>6459</v>
      </c>
      <c r="B429" s="653" t="str">
        <f>VLOOKUP(A429,BountyData!$A:$K,3,FALSE)</f>
        <v>消灭紫怪</v>
      </c>
      <c r="C429" s="654" t="str">
        <f>VLOOKUP(A429,BountyData!$A:$K,$H$1+3,FALSE)</f>
        <v>☆数据暂缺☆</v>
      </c>
      <c r="D429" s="597" t="str">
        <f>VLOOKUP(A429,BountyData!$A:$K,8,FALSE)</f>
        <v>A5</v>
      </c>
      <c r="E429" s="283" t="str">
        <f>VLOOKUP(A429,BountyData!$A:$K,$H$1+8,FALSE)</f>
        <v>威斯特玛上城区</v>
      </c>
      <c r="F429" s="602" t="str">
        <f>VLOOKUP(A429,BountyData!$A:$K,2,FALSE)</f>
        <v>2.4尚未启用</v>
      </c>
    </row>
    <row r="430" spans="1:6">
      <c r="A430" s="614" t="s">
        <v>4740</v>
      </c>
      <c r="B430" s="653" t="str">
        <f>VLOOKUP(A430,BountyData!$A:$K,3,FALSE)</f>
        <v>消灭紫怪</v>
      </c>
      <c r="C430" s="654" t="str">
        <f>VLOOKUP(A430,BountyData!$A:$K,$H$1+3,FALSE)</f>
        <v>悬赏任务：消灭崔加卡</v>
      </c>
      <c r="D430" s="597" t="str">
        <f>VLOOKUP(A430,BountyData!$A:$K,8,FALSE)</f>
        <v>A5</v>
      </c>
      <c r="E430" s="283" t="str">
        <f>VLOOKUP(A430,BountyData!$A:$K,$H$1+8,FALSE)</f>
        <v>威斯特玛上城区</v>
      </c>
      <c r="F430" s="602" t="str">
        <f>VLOOKUP(A430,BountyData!$A:$K,2,FALSE)</f>
        <v>2.4尚未启用</v>
      </c>
    </row>
    <row r="431" spans="1:6">
      <c r="A431" s="614" t="s">
        <v>5073</v>
      </c>
      <c r="B431" s="653" t="str">
        <f>VLOOKUP(A431,BountyData!$A:$K,3,FALSE)</f>
        <v>消灭紫怪</v>
      </c>
      <c r="C431" s="654" t="str">
        <f>VLOOKUP(A431,BountyData!$A:$K,$H$1+3,FALSE)</f>
        <v>悬赏任务：消灭梅瑞尔·雷格顿</v>
      </c>
      <c r="D431" s="597" t="str">
        <f>VLOOKUP(A431,BountyData!$A:$K,8,FALSE)</f>
        <v>A5</v>
      </c>
      <c r="E431" s="283" t="str">
        <f>VLOOKUP(A431,BountyData!$A:$K,$H$1+8,FALSE)</f>
        <v>威斯特玛上城区</v>
      </c>
      <c r="F431" s="659" t="str">
        <f>VLOOKUP(A431,BountyData!$A:$K,2,FALSE)</f>
        <v>是</v>
      </c>
    </row>
    <row r="432" spans="1:6">
      <c r="A432" s="614" t="s">
        <v>4823</v>
      </c>
      <c r="B432" s="653" t="str">
        <f>VLOOKUP(A432,BountyData!$A:$K,3,FALSE)</f>
        <v>消灭紫怪</v>
      </c>
      <c r="C432" s="654" t="str">
        <f>VLOOKUP(A432,BountyData!$A:$K,$H$1+3,FALSE)</f>
        <v>悬赏任务：消灭米奇博尔</v>
      </c>
      <c r="D432" s="597" t="str">
        <f>VLOOKUP(A432,BountyData!$A:$K,8,FALSE)</f>
        <v>A5</v>
      </c>
      <c r="E432" s="283" t="str">
        <f>VLOOKUP(A432,BountyData!$A:$K,$H$1+8,FALSE)</f>
        <v>威斯特玛上城区</v>
      </c>
      <c r="F432" s="659" t="str">
        <f>VLOOKUP(A432,BountyData!$A:$K,2,FALSE)</f>
        <v>是</v>
      </c>
    </row>
    <row r="433" spans="1:6">
      <c r="A433" s="614" t="s">
        <v>4933</v>
      </c>
      <c r="B433" s="653" t="str">
        <f>VLOOKUP(A433,BountyData!$A:$K,3,FALSE)</f>
        <v>消灭紫怪</v>
      </c>
      <c r="C433" s="654" t="str">
        <f>VLOOKUP(A433,BountyData!$A:$K,$H$1+3,FALSE)</f>
        <v>悬赏任务：消灭潘·菲兹贝恩</v>
      </c>
      <c r="D433" s="597" t="str">
        <f>VLOOKUP(A433,BountyData!$A:$K,8,FALSE)</f>
        <v>A5</v>
      </c>
      <c r="E433" s="283" t="str">
        <f>VLOOKUP(A433,BountyData!$A:$K,$H$1+8,FALSE)</f>
        <v>威斯特玛上城区</v>
      </c>
      <c r="F433" s="659" t="str">
        <f>VLOOKUP(A433,BountyData!$A:$K,2,FALSE)</f>
        <v>是</v>
      </c>
    </row>
    <row r="434" spans="1:6">
      <c r="A434" s="614" t="s">
        <v>4827</v>
      </c>
      <c r="B434" s="653" t="str">
        <f>VLOOKUP(A434,BountyData!$A:$K,3,FALSE)</f>
        <v>消灭紫怪</v>
      </c>
      <c r="C434" s="654" t="str">
        <f>VLOOKUP(A434,BountyData!$A:$K,$H$1+3,FALSE)</f>
        <v>悬赏任务：消灭苏玛瑞斯·天谴者</v>
      </c>
      <c r="D434" s="597" t="str">
        <f>VLOOKUP(A434,BountyData!$A:$K,8,FALSE)</f>
        <v>A5</v>
      </c>
      <c r="E434" s="283" t="str">
        <f>VLOOKUP(A434,BountyData!$A:$K,$H$1+8,FALSE)</f>
        <v>威斯特玛上城区</v>
      </c>
      <c r="F434" s="659" t="str">
        <f>VLOOKUP(A434,BountyData!$A:$K,2,FALSE)</f>
        <v>是</v>
      </c>
    </row>
    <row r="435" spans="1:6">
      <c r="A435" s="614" t="s">
        <v>4825</v>
      </c>
      <c r="B435" s="653" t="str">
        <f>VLOOKUP(A435,BountyData!$A:$K,3,FALSE)</f>
        <v>消灭紫怪</v>
      </c>
      <c r="C435" s="654" t="str">
        <f>VLOOKUP(A435,BountyData!$A:$K,$H$1+3,FALSE)</f>
        <v>悬赏任务：消灭西奥多西娅·布赫雷</v>
      </c>
      <c r="D435" s="597" t="str">
        <f>VLOOKUP(A435,BountyData!$A:$K,8,FALSE)</f>
        <v>A5</v>
      </c>
      <c r="E435" s="283" t="str">
        <f>VLOOKUP(A435,BountyData!$A:$K,$H$1+8,FALSE)</f>
        <v>威斯特玛上城区</v>
      </c>
      <c r="F435" s="659" t="str">
        <f>VLOOKUP(A435,BountyData!$A:$K,2,FALSE)</f>
        <v>是</v>
      </c>
    </row>
    <row r="436" spans="1:6">
      <c r="A436" s="614" t="s">
        <v>4893</v>
      </c>
      <c r="B436" s="651" t="str">
        <f>VLOOKUP(A436,BountyData!$A:$K,3,FALSE)</f>
        <v>完成事件</v>
      </c>
      <c r="C436" s="652" t="str">
        <f>VLOOKUP(A436,BountyData!$A:$K,$H$1+3,FALSE)</f>
        <v>悬赏任务：诅咒水晶</v>
      </c>
      <c r="D436" s="597" t="str">
        <f>VLOOKUP(A436,BountyData!$A:$K,8,FALSE)</f>
        <v>A5</v>
      </c>
      <c r="E436" s="283" t="str">
        <f>VLOOKUP(A436,BountyData!$A:$K,$H$1+8,FALSE)</f>
        <v>永恒战场</v>
      </c>
      <c r="F436" s="659" t="str">
        <f>VLOOKUP(A436,BountyData!$A:$K,2,FALSE)</f>
        <v>是</v>
      </c>
    </row>
    <row r="437" spans="1:6">
      <c r="A437" s="614" t="s">
        <v>4891</v>
      </c>
      <c r="B437" s="651" t="str">
        <f>VLOOKUP(A437,BountyData!$A:$K,3,FALSE)</f>
        <v>完成事件</v>
      </c>
      <c r="C437" s="652" t="str">
        <f>VLOOKUP(A437,BountyData!$A:$K,$H$1+3,FALSE)</f>
        <v>悬赏任务：恶魔宝藏</v>
      </c>
      <c r="D437" s="597" t="str">
        <f>VLOOKUP(A437,BountyData!$A:$K,8,FALSE)</f>
        <v>A5</v>
      </c>
      <c r="E437" s="283" t="str">
        <f>VLOOKUP(A437,BountyData!$A:$K,$H$1+8,FALSE)</f>
        <v>永恒战场</v>
      </c>
      <c r="F437" s="659" t="str">
        <f>VLOOKUP(A437,BountyData!$A:$K,2,FALSE)</f>
        <v>是</v>
      </c>
    </row>
    <row r="438" spans="1:6">
      <c r="A438" s="614" t="s">
        <v>4862</v>
      </c>
      <c r="B438" s="651" t="str">
        <f>VLOOKUP(A438,BountyData!$A:$K,3,FALSE)</f>
        <v>完成事件</v>
      </c>
      <c r="C438" s="652" t="str">
        <f>VLOOKUP(A438,BountyData!$A:$K,$H$1+3,FALSE)</f>
        <v>悬赏任务：被时间所遗忘的战争</v>
      </c>
      <c r="D438" s="597" t="str">
        <f>VLOOKUP(A438,BountyData!$A:$K,8,FALSE)</f>
        <v>A5</v>
      </c>
      <c r="E438" s="283" t="str">
        <f>VLOOKUP(A438,BountyData!$A:$K,$H$1+8,FALSE)</f>
        <v>永恒战场</v>
      </c>
      <c r="F438" s="602" t="str">
        <f>VLOOKUP(A438,BountyData!$A:$K,2,FALSE)</f>
        <v>2.4尚未启用</v>
      </c>
    </row>
    <row r="439" spans="1:6">
      <c r="A439" s="614" t="s">
        <v>5011</v>
      </c>
      <c r="B439" s="651" t="str">
        <f>VLOOKUP(A439,BountyData!$A:$K,3,FALSE)</f>
        <v>完成事件</v>
      </c>
      <c r="C439" s="652" t="str">
        <f>VLOOKUP(A439,BountyData!$A:$K,$H$1+3,FALSE)</f>
        <v>悬赏任务：诅咒之境</v>
      </c>
      <c r="D439" s="597" t="str">
        <f>VLOOKUP(A439,BountyData!$A:$K,8,FALSE)</f>
        <v>A5</v>
      </c>
      <c r="E439" s="283" t="str">
        <f>VLOOKUP(A439,BountyData!$A:$K,$H$1+8,FALSE)</f>
        <v>永恒战场</v>
      </c>
      <c r="F439" s="659" t="str">
        <f>VLOOKUP(A439,BountyData!$A:$K,2,FALSE)</f>
        <v>是</v>
      </c>
    </row>
    <row r="440" spans="1:6">
      <c r="A440" s="614" t="s">
        <v>4895</v>
      </c>
      <c r="B440" s="651" t="str">
        <f>VLOOKUP(A440,BountyData!$A:$K,3,FALSE)</f>
        <v>完成事件</v>
      </c>
      <c r="C440" s="652" t="str">
        <f>VLOOKUP(A440,BountyData!$A:$K,$H$1+3,FALSE)</f>
        <v>悬赏任务：失落军团</v>
      </c>
      <c r="D440" s="597" t="str">
        <f>VLOOKUP(A440,BountyData!$A:$K,8,FALSE)</f>
        <v>A5</v>
      </c>
      <c r="E440" s="283" t="str">
        <f>VLOOKUP(A440,BountyData!$A:$K,$H$1+8,FALSE)</f>
        <v>永恒战场</v>
      </c>
      <c r="F440" s="659" t="str">
        <f>VLOOKUP(A440,BountyData!$A:$K,2,FALSE)</f>
        <v>是</v>
      </c>
    </row>
    <row r="441" spans="1:6">
      <c r="A441" s="614" t="s">
        <v>4889</v>
      </c>
      <c r="B441" s="651" t="str">
        <f>VLOOKUP(A441,BountyData!$A:$K,3,FALSE)</f>
        <v>完成事件</v>
      </c>
      <c r="C441" s="652" t="str">
        <f>VLOOKUP(A441,BountyData!$A:$K,$H$1+3,FALSE)</f>
        <v>悬赏任务：复活</v>
      </c>
      <c r="D441" s="597" t="str">
        <f>VLOOKUP(A441,BountyData!$A:$K,8,FALSE)</f>
        <v>A5</v>
      </c>
      <c r="E441" s="283" t="str">
        <f>VLOOKUP(A441,BountyData!$A:$K,$H$1+8,FALSE)</f>
        <v>永恒战场</v>
      </c>
      <c r="F441" s="659" t="str">
        <f>VLOOKUP(A441,BountyData!$A:$K,2,FALSE)</f>
        <v>是</v>
      </c>
    </row>
    <row r="442" spans="1:6">
      <c r="A442" s="614" t="s">
        <v>4841</v>
      </c>
      <c r="B442" s="651" t="str">
        <f>VLOOKUP(A442,BountyData!$A:$K,3,FALSE)</f>
        <v>完成事件</v>
      </c>
      <c r="C442" s="652" t="str">
        <f>VLOOKUP(A442,BountyData!$A:$K,$H$1+3,FALSE)</f>
        <v>悬赏任务：声东击西</v>
      </c>
      <c r="D442" s="597" t="str">
        <f>VLOOKUP(A442,BountyData!$A:$K,8,FALSE)</f>
        <v>A5</v>
      </c>
      <c r="E442" s="283" t="str">
        <f>VLOOKUP(A442,BountyData!$A:$K,$H$1+8,FALSE)</f>
        <v>永恒战场</v>
      </c>
      <c r="F442" s="659" t="str">
        <f>VLOOKUP(A442,BountyData!$A:$K,2,FALSE)</f>
        <v>是</v>
      </c>
    </row>
    <row r="443" spans="1:6">
      <c r="A443" s="614" t="s">
        <v>4861</v>
      </c>
      <c r="B443" s="651" t="str">
        <f>VLOOKUP(A443,BountyData!$A:$K,3,FALSE)</f>
        <v>完成事件</v>
      </c>
      <c r="C443" s="652" t="str">
        <f>VLOOKUP(A443,BountyData!$A:$K,$H$1+3,FALSE)</f>
        <v>悬赏任务：恶魔囚徒</v>
      </c>
      <c r="D443" s="597" t="str">
        <f>VLOOKUP(A443,BountyData!$A:$K,8,FALSE)</f>
        <v>A5</v>
      </c>
      <c r="E443" s="283" t="str">
        <f>VLOOKUP(A443,BountyData!$A:$K,$H$1+8,FALSE)</f>
        <v>永恒战场</v>
      </c>
      <c r="F443" s="602" t="str">
        <f>VLOOKUP(A443,BountyData!$A:$K,2,FALSE)</f>
        <v>2.4尚未启用</v>
      </c>
    </row>
    <row r="444" spans="1:6">
      <c r="A444" s="614" t="s">
        <v>4843</v>
      </c>
      <c r="B444" s="651" t="str">
        <f>VLOOKUP(A444,BountyData!$A:$K,3,FALSE)</f>
        <v>完成事件</v>
      </c>
      <c r="C444" s="652" t="str">
        <f>VLOOKUP(A444,BountyData!$A:$K,$H$1+3,FALSE)</f>
        <v>悬赏任务：灭魂仪</v>
      </c>
      <c r="D444" s="597" t="str">
        <f>VLOOKUP(A444,BountyData!$A:$K,8,FALSE)</f>
        <v>A5</v>
      </c>
      <c r="E444" s="283" t="str">
        <f>VLOOKUP(A444,BountyData!$A:$K,$H$1+8,FALSE)</f>
        <v>永恒战场</v>
      </c>
      <c r="F444" s="659" t="str">
        <f>VLOOKUP(A444,BountyData!$A:$K,2,FALSE)</f>
        <v>是</v>
      </c>
    </row>
    <row r="445" spans="1:6">
      <c r="A445" s="614" t="s">
        <v>4845</v>
      </c>
      <c r="B445" s="651" t="str">
        <f>VLOOKUP(A445,BountyData!$A:$K,3,FALSE)</f>
        <v>完成事件</v>
      </c>
      <c r="C445" s="652" t="str">
        <f>VLOOKUP(A445,BountyData!$A:$K,$H$1+3,FALSE)</f>
        <v>悬赏任务：岩巢</v>
      </c>
      <c r="D445" s="597" t="str">
        <f>VLOOKUP(A445,BountyData!$A:$K,8,FALSE)</f>
        <v>A5</v>
      </c>
      <c r="E445" s="283" t="str">
        <f>VLOOKUP(A445,BountyData!$A:$K,$H$1+8,FALSE)</f>
        <v>永恒战场</v>
      </c>
      <c r="F445" s="659" t="str">
        <f>VLOOKUP(A445,BountyData!$A:$K,2,FALSE)</f>
        <v>是</v>
      </c>
    </row>
    <row r="446" spans="1:6">
      <c r="A446" s="614" t="s">
        <v>4939</v>
      </c>
      <c r="B446" s="653" t="str">
        <f>VLOOKUP(A446,BountyData!$A:$K,3,FALSE)</f>
        <v>消灭紫怪</v>
      </c>
      <c r="C446" s="654" t="str">
        <f>VLOOKUP(A446,BountyData!$A:$K,$H$1+3,FALSE)</f>
        <v>悬赏任务：消灭布鲁</v>
      </c>
      <c r="D446" s="597" t="str">
        <f>VLOOKUP(A446,BountyData!$A:$K,8,FALSE)</f>
        <v>A5</v>
      </c>
      <c r="E446" s="283" t="str">
        <f>VLOOKUP(A446,BountyData!$A:$K,$H$1+8,FALSE)</f>
        <v>永恒战场</v>
      </c>
      <c r="F446" s="659" t="str">
        <f>VLOOKUP(A446,BountyData!$A:$K,2,FALSE)</f>
        <v>是</v>
      </c>
    </row>
    <row r="447" spans="1:6">
      <c r="A447" s="614" t="s">
        <v>4937</v>
      </c>
      <c r="B447" s="653" t="str">
        <f>VLOOKUP(A447,BountyData!$A:$K,3,FALSE)</f>
        <v>消灭紫怪</v>
      </c>
      <c r="C447" s="654" t="str">
        <f>VLOOKUP(A447,BountyData!$A:$K,$H$1+3,FALSE)</f>
        <v>悬赏任务：消灭伯格斯</v>
      </c>
      <c r="D447" s="597" t="str">
        <f>VLOOKUP(A447,BountyData!$A:$K,8,FALSE)</f>
        <v>A5</v>
      </c>
      <c r="E447" s="283" t="str">
        <f>VLOOKUP(A447,BountyData!$A:$K,$H$1+8,FALSE)</f>
        <v>永恒战场</v>
      </c>
      <c r="F447" s="659" t="str">
        <f>VLOOKUP(A447,BountyData!$A:$K,2,FALSE)</f>
        <v>是</v>
      </c>
    </row>
    <row r="448" spans="1:6">
      <c r="A448" s="614" t="s">
        <v>4940</v>
      </c>
      <c r="B448" s="653" t="str">
        <f>VLOOKUP(A448,BountyData!$A:$K,3,FALSE)</f>
        <v>消灭紫怪</v>
      </c>
      <c r="C448" s="654" t="str">
        <f>VLOOKUP(A448,BountyData!$A:$K,$H$1+3,FALSE)</f>
        <v>悬赏任务：消灭格罗特斯克</v>
      </c>
      <c r="D448" s="597" t="str">
        <f>VLOOKUP(A448,BountyData!$A:$K,8,FALSE)</f>
        <v>A5</v>
      </c>
      <c r="E448" s="283" t="str">
        <f>VLOOKUP(A448,BountyData!$A:$K,$H$1+8,FALSE)</f>
        <v>永恒战场</v>
      </c>
      <c r="F448" s="659" t="str">
        <f>VLOOKUP(A448,BountyData!$A:$K,2,FALSE)</f>
        <v>是</v>
      </c>
    </row>
    <row r="449" spans="1:6">
      <c r="A449" s="614" t="s">
        <v>4941</v>
      </c>
      <c r="B449" s="653" t="str">
        <f>VLOOKUP(A449,BountyData!$A:$K,3,FALSE)</f>
        <v>消灭紫怪</v>
      </c>
      <c r="C449" s="654" t="str">
        <f>VLOOKUP(A449,BountyData!$A:$K,$H$1+3,FALSE)</f>
        <v>悬赏任务：消灭黑兹伊尔</v>
      </c>
      <c r="D449" s="597" t="str">
        <f>VLOOKUP(A449,BountyData!$A:$K,8,FALSE)</f>
        <v>A5</v>
      </c>
      <c r="E449" s="283" t="str">
        <f>VLOOKUP(A449,BountyData!$A:$K,$H$1+8,FALSE)</f>
        <v>永恒战场</v>
      </c>
      <c r="F449" s="659" t="str">
        <f>VLOOKUP(A449,BountyData!$A:$K,2,FALSE)</f>
        <v>是</v>
      </c>
    </row>
    <row r="450" spans="1:6">
      <c r="A450" s="614" t="s">
        <v>4935</v>
      </c>
      <c r="B450" s="653" t="str">
        <f>VLOOKUP(A450,BountyData!$A:$K,3,FALSE)</f>
        <v>消灭紫怪</v>
      </c>
      <c r="C450" s="654" t="str">
        <f>VLOOKUP(A450,BountyData!$A:$K,$H$1+3,FALSE)</f>
        <v>悬赏任务：消灭玛格雷塔</v>
      </c>
      <c r="D450" s="597" t="str">
        <f>VLOOKUP(A450,BountyData!$A:$K,8,FALSE)</f>
        <v>A5</v>
      </c>
      <c r="E450" s="283" t="str">
        <f>VLOOKUP(A450,BountyData!$A:$K,$H$1+8,FALSE)</f>
        <v>永恒战场</v>
      </c>
      <c r="F450" s="659" t="str">
        <f>VLOOKUP(A450,BountyData!$A:$K,2,FALSE)</f>
        <v>是</v>
      </c>
    </row>
    <row r="451" spans="1:6">
      <c r="A451" s="614" t="s">
        <v>4938</v>
      </c>
      <c r="B451" s="653" t="str">
        <f>VLOOKUP(A451,BountyData!$A:$K,3,FALSE)</f>
        <v>消灭紫怪</v>
      </c>
      <c r="C451" s="654" t="str">
        <f>VLOOKUP(A451,BountyData!$A:$K,$H$1+3,FALSE)</f>
        <v>悬赏任务：消灭瑟维拉格</v>
      </c>
      <c r="D451" s="597" t="str">
        <f>VLOOKUP(A451,BountyData!$A:$K,8,FALSE)</f>
        <v>A5</v>
      </c>
      <c r="E451" s="283" t="str">
        <f>VLOOKUP(A451,BountyData!$A:$K,$H$1+8,FALSE)</f>
        <v>永恒战场</v>
      </c>
      <c r="F451" s="659" t="str">
        <f>VLOOKUP(A451,BountyData!$A:$K,2,FALSE)</f>
        <v>是</v>
      </c>
    </row>
    <row r="452" spans="1:6">
      <c r="A452" s="614" t="s">
        <v>4839</v>
      </c>
      <c r="B452" s="653" t="str">
        <f>VLOOKUP(A452,BountyData!$A:$K,3,FALSE)</f>
        <v>消灭紫怪</v>
      </c>
      <c r="C452" s="654" t="str">
        <f>VLOOKUP(A452,BountyData!$A:$K,$H$1+3,FALSE)</f>
        <v>悬赏任务：消灭毕苏斯</v>
      </c>
      <c r="D452" s="597" t="str">
        <f>VLOOKUP(A452,BountyData!$A:$K,8,FALSE)</f>
        <v>A5</v>
      </c>
      <c r="E452" s="283" t="str">
        <f>VLOOKUP(A452,BountyData!$A:$K,$H$1+8,FALSE)</f>
        <v>永恒战场</v>
      </c>
      <c r="F452" s="659" t="str">
        <f>VLOOKUP(A452,BountyData!$A:$K,2,FALSE)</f>
        <v>是</v>
      </c>
    </row>
    <row r="453" spans="1:6">
      <c r="A453" s="614" t="s">
        <v>4835</v>
      </c>
      <c r="B453" s="653" t="str">
        <f>VLOOKUP(A453,BountyData!$A:$K,3,FALSE)</f>
        <v>消灭紫怪</v>
      </c>
      <c r="C453" s="654" t="str">
        <f>VLOOKUP(A453,BountyData!$A:$K,$H$1+3,FALSE)</f>
        <v>悬赏任务：消灭布拉斯克·掘洞者</v>
      </c>
      <c r="D453" s="597" t="str">
        <f>VLOOKUP(A453,BountyData!$A:$K,8,FALSE)</f>
        <v>A5</v>
      </c>
      <c r="E453" s="283" t="str">
        <f>VLOOKUP(A453,BountyData!$A:$K,$H$1+8,FALSE)</f>
        <v>永恒战场</v>
      </c>
      <c r="F453" s="659" t="str">
        <f>VLOOKUP(A453,BountyData!$A:$K,2,FALSE)</f>
        <v>是</v>
      </c>
    </row>
    <row r="454" spans="1:6">
      <c r="A454" s="614" t="s">
        <v>4897</v>
      </c>
      <c r="B454" s="653" t="str">
        <f>VLOOKUP(A454,BountyData!$A:$K,3,FALSE)</f>
        <v>消灭紫怪</v>
      </c>
      <c r="C454" s="654" t="str">
        <f>VLOOKUP(A454,BountyData!$A:$K,$H$1+3,FALSE)</f>
        <v>悬赏任务：消灭恐怖的穆留克斯</v>
      </c>
      <c r="D454" s="597" t="str">
        <f>VLOOKUP(A454,BountyData!$A:$K,8,FALSE)</f>
        <v>A5</v>
      </c>
      <c r="E454" s="283" t="str">
        <f>VLOOKUP(A454,BountyData!$A:$K,$H$1+8,FALSE)</f>
        <v>永恒战场</v>
      </c>
      <c r="F454" s="659" t="str">
        <f>VLOOKUP(A454,BountyData!$A:$K,2,FALSE)</f>
        <v>是</v>
      </c>
    </row>
    <row r="455" spans="1:6">
      <c r="A455" s="614" t="s">
        <v>4831</v>
      </c>
      <c r="B455" s="653" t="str">
        <f>VLOOKUP(A455,BountyData!$A:$K,3,FALSE)</f>
        <v>消灭紫怪</v>
      </c>
      <c r="C455" s="654" t="str">
        <f>VLOOKUP(A455,BountyData!$A:$K,$H$1+3,FALSE)</f>
        <v>悬赏任务：消灭奥布西迪厄斯</v>
      </c>
      <c r="D455" s="597" t="str">
        <f>VLOOKUP(A455,BountyData!$A:$K,8,FALSE)</f>
        <v>A5</v>
      </c>
      <c r="E455" s="283" t="str">
        <f>VLOOKUP(A455,BountyData!$A:$K,$H$1+8,FALSE)</f>
        <v>永恒战场</v>
      </c>
      <c r="F455" s="659" t="str">
        <f>VLOOKUP(A455,BountyData!$A:$K,2,FALSE)</f>
        <v>是</v>
      </c>
    </row>
    <row r="456" spans="1:6">
      <c r="A456" s="614" t="s">
        <v>4829</v>
      </c>
      <c r="B456" s="653" t="str">
        <f>VLOOKUP(A456,BountyData!$A:$K,3,FALSE)</f>
        <v>消灭紫怪</v>
      </c>
      <c r="C456" s="654" t="str">
        <f>VLOOKUP(A456,BountyData!$A:$K,$H$1+3,FALSE)</f>
        <v>悬赏任务：消灭洛库鲁斯</v>
      </c>
      <c r="D456" s="597" t="str">
        <f>VLOOKUP(A456,BountyData!$A:$K,8,FALSE)</f>
        <v>A5</v>
      </c>
      <c r="E456" s="283" t="str">
        <f>VLOOKUP(A456,BountyData!$A:$K,$H$1+8,FALSE)</f>
        <v>永恒战场</v>
      </c>
      <c r="F456" s="659" t="str">
        <f>VLOOKUP(A456,BountyData!$A:$K,2,FALSE)</f>
        <v>是</v>
      </c>
    </row>
    <row r="457" spans="1:6">
      <c r="A457" s="614" t="s">
        <v>4738</v>
      </c>
      <c r="B457" s="653" t="str">
        <f>VLOOKUP(A457,BountyData!$A:$K,3,FALSE)</f>
        <v>消灭紫怪</v>
      </c>
      <c r="C457" s="654" t="str">
        <f>VLOOKUP(A457,BountyData!$A:$K,$H$1+3,FALSE)</f>
        <v>悬赏任务：消灭萨托尔</v>
      </c>
      <c r="D457" s="597" t="str">
        <f>VLOOKUP(A457,BountyData!$A:$K,8,FALSE)</f>
        <v>A5</v>
      </c>
      <c r="E457" s="283" t="str">
        <f>VLOOKUP(A457,BountyData!$A:$K,$H$1+8,FALSE)</f>
        <v>永恒战场</v>
      </c>
      <c r="F457" s="659" t="str">
        <f>VLOOKUP(A457,BountyData!$A:$K,2,FALSE)</f>
        <v>是</v>
      </c>
    </row>
    <row r="458" spans="1:6">
      <c r="A458" s="614" t="s">
        <v>4833</v>
      </c>
      <c r="B458" s="653" t="str">
        <f>VLOOKUP(A458,BountyData!$A:$K,3,FALSE)</f>
        <v>消灭紫怪</v>
      </c>
      <c r="C458" s="654" t="str">
        <f>VLOOKUP(A458,BountyData!$A:$K,$H$1+3,FALSE)</f>
        <v>悬赏任务：消灭斯拉斯·掘洞者</v>
      </c>
      <c r="D458" s="597" t="str">
        <f>VLOOKUP(A458,BountyData!$A:$K,8,FALSE)</f>
        <v>A5</v>
      </c>
      <c r="E458" s="283" t="str">
        <f>VLOOKUP(A458,BountyData!$A:$K,$H$1+8,FALSE)</f>
        <v>永恒战场</v>
      </c>
      <c r="F458" s="659" t="str">
        <f>VLOOKUP(A458,BountyData!$A:$K,2,FALSE)</f>
        <v>是</v>
      </c>
    </row>
    <row r="459" spans="1:6" ht="15.5" thickBot="1">
      <c r="A459" s="614" t="s">
        <v>4837</v>
      </c>
      <c r="B459" s="655" t="str">
        <f>VLOOKUP(A459,BountyData!$A:$K,3,FALSE)</f>
        <v>消灭紫怪</v>
      </c>
      <c r="C459" s="656" t="str">
        <f>VLOOKUP(A459,BountyData!$A:$K,$H$1+3,FALSE)</f>
        <v>悬赏任务：消灭沃特鲁斯</v>
      </c>
      <c r="D459" s="598" t="str">
        <f>VLOOKUP(A459,BountyData!$A:$K,8,FALSE)</f>
        <v>A5</v>
      </c>
      <c r="E459" s="310" t="str">
        <f>VLOOKUP(A459,BountyData!$A:$K,$H$1+8,FALSE)</f>
        <v>永恒战场</v>
      </c>
      <c r="F459" s="660" t="str">
        <f>VLOOKUP(A459,BountyData!$A:$K,2,FALSE)</f>
        <v>是</v>
      </c>
    </row>
  </sheetData>
  <phoneticPr fontId="7" type="noConversion"/>
  <dataValidations count="1">
    <dataValidation type="list" allowBlank="1" showInputMessage="1" showErrorMessage="1" sqref="G1:G2" xr:uid="{00000000-0002-0000-1400-000000000000}">
      <formula1>"繁體中文,简体中文,English"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81"/>
  <sheetViews>
    <sheetView workbookViewId="0">
      <pane ySplit="1" topLeftCell="A188" activePane="bottomLeft" state="frozen"/>
      <selection pane="bottomLeft" activeCell="A48" sqref="A48:B48"/>
    </sheetView>
  </sheetViews>
  <sheetFormatPr defaultColWidth="8.83203125" defaultRowHeight="14.5"/>
  <cols>
    <col min="1" max="1" width="10.6640625" style="286" customWidth="1"/>
    <col min="2" max="2" width="80.6640625" style="286" customWidth="1"/>
    <col min="3" max="3" width="10.6640625" style="286" customWidth="1"/>
    <col min="4" max="16384" width="8.83203125" style="286"/>
  </cols>
  <sheetData>
    <row r="1" spans="1:8" ht="17" thickBot="1">
      <c r="A1" s="73" t="s">
        <v>2023</v>
      </c>
      <c r="B1" s="168" t="s">
        <v>6065</v>
      </c>
      <c r="C1" s="76" t="s">
        <v>2021</v>
      </c>
      <c r="D1" s="573" t="s">
        <v>3676</v>
      </c>
      <c r="E1" s="286" t="s">
        <v>6643</v>
      </c>
      <c r="H1" s="319">
        <f>VLOOKUP(D1,Data!$A:$B,2, FALSE)</f>
        <v>2</v>
      </c>
    </row>
    <row r="2" spans="1:8" ht="77.400000000000006" customHeight="1" thickBot="1">
      <c r="A2" s="790" t="s">
        <v>6637</v>
      </c>
      <c r="B2" s="790"/>
    </row>
    <row r="3" spans="1:8" ht="23" thickBot="1">
      <c r="A3" s="749" t="s">
        <v>6063</v>
      </c>
      <c r="B3" s="751"/>
    </row>
    <row r="4" spans="1:8" ht="16.5">
      <c r="A4" s="939" t="s">
        <v>6644</v>
      </c>
      <c r="B4" s="940"/>
    </row>
    <row r="5" spans="1:8">
      <c r="A5" s="666" t="s">
        <v>6066</v>
      </c>
      <c r="B5" s="375" t="str">
        <f>"A3，"&amp;VLOOKUP("賽斯雪隆廢墟", Data!$B:$C,H1,FALSE)&amp;"，入口附近。"</f>
        <v>A3，赛斯切隆废墟，入口附近。</v>
      </c>
    </row>
    <row r="6" spans="1:8">
      <c r="A6" s="666" t="s">
        <v>6064</v>
      </c>
      <c r="B6" s="605" t="str">
        <f>VLOOKUP("Basic1", SetDungData!$A:$C,H1+1,FALSE)&amp;" 168 "&amp;VLOOKUP("Basic2", SetDungData!$A:$C,H1+1,FALSE)</f>
        <v>消灭 168 个怪物且未受到致命伤害</v>
      </c>
    </row>
    <row r="7" spans="1:8">
      <c r="A7" s="941" t="s">
        <v>6075</v>
      </c>
      <c r="B7" s="608" t="str">
        <f>VLOOKUP("Barb11", SetDungData!$A:$C,H1+1,FALSE)</f>
        <v>使用 250% 伤害加成消灭每一个精英怪</v>
      </c>
    </row>
    <row r="8" spans="1:8">
      <c r="A8" s="941"/>
      <c r="B8" s="609" t="str">
        <f>VLOOKUP("Barb12", SetDungData!$A:$C,H1+1,FALSE)</f>
        <v>在狂暴者之怒状态下消灭 150 名敌人</v>
      </c>
    </row>
    <row r="9" spans="1:8">
      <c r="A9" s="666" t="s">
        <v>6067</v>
      </c>
      <c r="B9" s="605" t="s">
        <v>6088</v>
      </c>
    </row>
    <row r="10" spans="1:8" ht="29.5" thickBot="1">
      <c r="A10" s="607" t="s">
        <v>6068</v>
      </c>
      <c r="B10" s="606" t="s">
        <v>6639</v>
      </c>
    </row>
    <row r="11" spans="1:8" ht="16.5">
      <c r="A11" s="939" t="s">
        <v>6069</v>
      </c>
      <c r="B11" s="940"/>
    </row>
    <row r="12" spans="1:8">
      <c r="A12" s="666" t="s">
        <v>6066</v>
      </c>
      <c r="B12" s="391" t="str">
        <f>"A5，"&amp;VLOOKUP("混沌界要塞第一層", Data!$B:$C,H1,FALSE)&amp;"，入口附近。"</f>
        <v>A5，混沌要塞一层，入口附近。</v>
      </c>
    </row>
    <row r="13" spans="1:8">
      <c r="A13" s="666" t="s">
        <v>6064</v>
      </c>
      <c r="B13" s="605" t="str">
        <f>VLOOKUP("Basic1", SetDungData!$A:$C,H1+1,FALSE)&amp;" 161 "&amp;VLOOKUP("Basic2", SetDungData!$A:$C,H1+1,FALSE)</f>
        <v>消灭 161 个怪物且未受到致命伤害</v>
      </c>
    </row>
    <row r="14" spans="1:8">
      <c r="A14" s="941" t="s">
        <v>6075</v>
      </c>
      <c r="B14" s="608" t="str">
        <f>VLOOKUP("Barb21", SetDungData!$A:$C,H1+1,FALSE)</f>
        <v>一次痛割 10 名不同的敌人，完成 5 次</v>
      </c>
    </row>
    <row r="15" spans="1:8">
      <c r="A15" s="941"/>
      <c r="B15" s="609" t="str">
        <f>VLOOKUP("Barb22", SetDungData!$A:$C,H1+1,FALSE)</f>
        <v>在地下城持续时间内不要受到任何物理伤害</v>
      </c>
    </row>
    <row r="16" spans="1:8">
      <c r="A16" s="666" t="s">
        <v>6067</v>
      </c>
      <c r="B16" s="605" t="s">
        <v>6164</v>
      </c>
    </row>
    <row r="17" spans="1:2" ht="73" thickBot="1">
      <c r="A17" s="607" t="s">
        <v>6068</v>
      </c>
      <c r="B17" s="606" t="s">
        <v>6640</v>
      </c>
    </row>
    <row r="18" spans="1:2" ht="16.5">
      <c r="A18" s="939" t="s">
        <v>6073</v>
      </c>
      <c r="B18" s="940"/>
    </row>
    <row r="19" spans="1:2">
      <c r="A19" s="666" t="s">
        <v>6066</v>
      </c>
      <c r="B19" s="391" t="str">
        <f>"A5，"&amp;VLOOKUP("蔓草廢墟", Data!$B:$C,H1,FALSE)&amp;"，末端石柱左侧。"</f>
        <v>A5，蔓藤废墟，末端石柱左侧。</v>
      </c>
    </row>
    <row r="20" spans="1:2">
      <c r="A20" s="666" t="s">
        <v>6064</v>
      </c>
      <c r="B20" s="605" t="str">
        <f>VLOOKUP("Basic1", SetDungData!$A:$C,H1+1,FALSE)&amp;" 375 "&amp;VLOOKUP("Basic2", SetDungData!$A:$C,H1+1,FALSE)</f>
        <v>消灭 375 个怪物且未受到致命伤害</v>
      </c>
    </row>
    <row r="21" spans="1:2">
      <c r="A21" s="941" t="s">
        <v>6075</v>
      </c>
      <c r="B21" s="608" t="str">
        <f>VLOOKUP("Barb31", SetDungData!$A:$C,H1+1,FALSE)</f>
        <v>使用一次狂暴冲撞击中 15 名不同的敌人，完成 6 次</v>
      </c>
    </row>
    <row r="22" spans="1:2">
      <c r="A22" s="941"/>
      <c r="B22" s="609" t="str">
        <f>VLOOKUP("Barb32", SetDungData!$A:$C,H1+1,FALSE)</f>
        <v>使用 1500% 伤害加成的能量消耗技击中不同的敌人，完成 15 次</v>
      </c>
    </row>
    <row r="23" spans="1:2">
      <c r="A23" s="666" t="s">
        <v>6067</v>
      </c>
      <c r="B23" s="605" t="s">
        <v>6072</v>
      </c>
    </row>
    <row r="24" spans="1:2" ht="58.5" thickBot="1">
      <c r="A24" s="607" t="s">
        <v>6068</v>
      </c>
      <c r="B24" s="606" t="s">
        <v>6641</v>
      </c>
    </row>
    <row r="25" spans="1:2" ht="16.5">
      <c r="A25" s="939" t="s">
        <v>6074</v>
      </c>
      <c r="B25" s="940"/>
    </row>
    <row r="26" spans="1:2">
      <c r="A26" s="666" t="s">
        <v>6066</v>
      </c>
      <c r="B26" s="361" t="str">
        <f>"A2，"&amp;VLOOKUP("卡爾蒂姆城", Data!$B:$C,H1,FALSE)&amp;"，皇宫入口前。"</f>
        <v>A2，卡尔蒂姆城，皇宫入口前。</v>
      </c>
    </row>
    <row r="27" spans="1:2">
      <c r="A27" s="666" t="s">
        <v>6064</v>
      </c>
      <c r="B27" s="605" t="str">
        <f>VLOOKUP("Basic1", SetDungData!$A:$C,H1+1,FALSE)&amp;" 168 "&amp;VLOOKUP("Basic2", SetDungData!$A:$C,H1+1,FALSE)</f>
        <v>消灭 168 个怪物且未受到致命伤害</v>
      </c>
    </row>
    <row r="28" spans="1:2">
      <c r="A28" s="941" t="s">
        <v>6075</v>
      </c>
      <c r="B28" s="608" t="str">
        <f>VLOOKUP("Barb41", SetDungData!$A:$C,H1+1,FALSE)</f>
        <v>在 6 秒内对每一个精英怪施展跳斩、大地践踏、地震</v>
      </c>
    </row>
    <row r="29" spans="1:2">
      <c r="A29" s="941"/>
      <c r="B29" s="609" t="str">
        <f>VLOOKUP("Barb42", SetDungData!$A:$C,H1+1,FALSE)</f>
        <v>在 1 分钟内每 10 秒冻住并消灭至少 1 个敌人</v>
      </c>
    </row>
    <row r="30" spans="1:2">
      <c r="A30" s="666" t="s">
        <v>6067</v>
      </c>
      <c r="B30" s="608" t="s">
        <v>6072</v>
      </c>
    </row>
    <row r="31" spans="1:2" ht="58.5" thickBot="1">
      <c r="A31" s="607" t="s">
        <v>6068</v>
      </c>
      <c r="B31" s="606" t="s">
        <v>6642</v>
      </c>
    </row>
    <row r="32" spans="1:2" ht="15" thickBot="1"/>
    <row r="33" spans="1:2" ht="23" thickBot="1">
      <c r="A33" s="749" t="s">
        <v>6076</v>
      </c>
      <c r="B33" s="751"/>
    </row>
    <row r="34" spans="1:2" ht="16.5">
      <c r="A34" s="939" t="s">
        <v>6077</v>
      </c>
      <c r="B34" s="940"/>
    </row>
    <row r="35" spans="1:2">
      <c r="A35" s="666" t="s">
        <v>6066</v>
      </c>
      <c r="B35" s="375" t="str">
        <f>"A3，"&amp;VLOOKUP("戍衛要塞堡壘-军械库", Data!$B:$C,H1,FALSE)&amp;"，莉亚的房间。"</f>
        <v>A3，巴斯廷要塞据点-要塞军械库，莉亚的房间。</v>
      </c>
    </row>
    <row r="36" spans="1:2">
      <c r="A36" s="666" t="s">
        <v>6064</v>
      </c>
      <c r="B36" s="605" t="str">
        <f>VLOOKUP("Basic1", SetDungData!$A:$C,H1+1,FALSE)&amp;" 175 "&amp;VLOOKUP("Basic2", SetDungData!$A:$C,H1+1,FALSE)</f>
        <v>消灭 175 个怪物且未受到致命伤害</v>
      </c>
    </row>
    <row r="37" spans="1:2">
      <c r="A37" s="941" t="s">
        <v>6075</v>
      </c>
      <c r="B37" s="609" t="str">
        <f>VLOOKUP("Cru11", SetDungData!$A:$C,H1+1,FALSE)</f>
        <v>使用天谴同时击中 10 名不同的敌人，完成 12 次</v>
      </c>
    </row>
    <row r="38" spans="1:2">
      <c r="A38" s="941"/>
      <c r="B38" s="609" t="str">
        <f>VLOOKUP("Cru12", SetDungData!$A:$C,H1+1,FALSE)</f>
        <v>在阿卡拉特勇士处于激活状态下消灭 150 名敌人</v>
      </c>
    </row>
    <row r="39" spans="1:2">
      <c r="A39" s="666" t="s">
        <v>6067</v>
      </c>
      <c r="B39" s="605" t="s">
        <v>6071</v>
      </c>
    </row>
    <row r="40" spans="1:2" ht="44" thickBot="1">
      <c r="A40" s="607" t="s">
        <v>6068</v>
      </c>
      <c r="B40" s="606" t="s">
        <v>6150</v>
      </c>
    </row>
    <row r="41" spans="1:2" ht="16.5">
      <c r="A41" s="939" t="s">
        <v>6085</v>
      </c>
      <c r="B41" s="940"/>
    </row>
    <row r="42" spans="1:2">
      <c r="A42" s="666" t="s">
        <v>6066</v>
      </c>
      <c r="B42" s="361" t="str">
        <f>"A2，"&amp;VLOOKUP("奧卡納斯之路", Data!$B:$C,H1,FALSE)&amp;"，左侧的死胡同。"</f>
        <v>A2，阿尔卡纳斯之路，左侧的死胡同。</v>
      </c>
    </row>
    <row r="43" spans="1:2">
      <c r="A43" s="666" t="s">
        <v>6064</v>
      </c>
      <c r="B43" s="605" t="str">
        <f>VLOOKUP("Basic1", SetDungData!$A:$C,H1+1,FALSE)&amp;" 490 "&amp;VLOOKUP("Basic2", SetDungData!$A:$C,H1+1,FALSE)</f>
        <v>消灭 490 个怪物且未受到致命伤害</v>
      </c>
    </row>
    <row r="44" spans="1:2">
      <c r="A44" s="941" t="s">
        <v>6075</v>
      </c>
      <c r="B44" s="608" t="str">
        <f>VLOOKUP("Cru21", SetDungData!$A:$C,H1+1,FALSE)</f>
        <v>使用一次横扫击中 12 名不同的敌人，完成 7 次</v>
      </c>
    </row>
    <row r="45" spans="1:2">
      <c r="A45" s="941"/>
      <c r="B45" s="609" t="str">
        <f>VLOOKUP("Cru22", SetDungData!$A:$C,H1+1,FALSE)</f>
        <v>在 10 秒内消耗 300 点愤怒值，完成 5 次</v>
      </c>
    </row>
    <row r="46" spans="1:2">
      <c r="A46" s="666" t="s">
        <v>6067</v>
      </c>
      <c r="B46" s="605" t="s">
        <v>6084</v>
      </c>
    </row>
    <row r="47" spans="1:2" ht="73" thickBot="1">
      <c r="A47" s="607" t="s">
        <v>6068</v>
      </c>
      <c r="B47" s="606" t="s">
        <v>6095</v>
      </c>
    </row>
    <row r="48" spans="1:2" ht="16.5">
      <c r="A48" s="939" t="s">
        <v>6089</v>
      </c>
      <c r="B48" s="940"/>
    </row>
    <row r="49" spans="1:2">
      <c r="A49" s="666" t="s">
        <v>6066</v>
      </c>
      <c r="B49" s="347" t="str">
        <f>"A1，"&amp;VLOOKUP("臨鎮道路", Data!$B:$C,H1,FALSE)&amp;"（新崔下方的那条小路，D3剧情开场之处）"</f>
        <v>A1，眺望之路（新崔下方的那条小路，D3剧情开场之处）</v>
      </c>
    </row>
    <row r="50" spans="1:2">
      <c r="A50" s="666" t="s">
        <v>6064</v>
      </c>
      <c r="B50" s="605" t="str">
        <f>VLOOKUP("Basic1", SetDungData!$A:$C,H1+1,FALSE)&amp;" 157 "&amp;VLOOKUP("Basic2", SetDungData!$A:$C,H1+1,FALSE)</f>
        <v>消灭 157 个怪物且未受到致命伤害</v>
      </c>
    </row>
    <row r="51" spans="1:2">
      <c r="A51" s="941" t="s">
        <v>6075</v>
      </c>
      <c r="B51" s="608" t="str">
        <f>VLOOKUP("Cru31", SetDungData!$A:$C,H1+1,FALSE)</f>
        <v>被鲜血部族和月亮部族投掷的长矛击中 75 次</v>
      </c>
    </row>
    <row r="52" spans="1:2">
      <c r="A52" s="941"/>
      <c r="B52" s="609" t="str">
        <f>VLOOKUP("Cru32", SetDungData!$A:$C,H1+1,FALSE)</f>
        <v>当站在奉献范围内且已激活钢铁之肤的状态下消灭 5 个精英怪</v>
      </c>
    </row>
    <row r="53" spans="1:2">
      <c r="A53" s="666" t="s">
        <v>6067</v>
      </c>
      <c r="B53" s="605" t="s">
        <v>6088</v>
      </c>
    </row>
    <row r="54" spans="1:2" ht="44" thickBot="1">
      <c r="A54" s="607" t="s">
        <v>6068</v>
      </c>
      <c r="B54" s="606" t="s">
        <v>6090</v>
      </c>
    </row>
    <row r="55" spans="1:2" ht="16.5">
      <c r="A55" s="939" t="s">
        <v>6093</v>
      </c>
      <c r="B55" s="940"/>
    </row>
    <row r="56" spans="1:2">
      <c r="A56" s="666" t="s">
        <v>6066</v>
      </c>
      <c r="B56" s="361" t="str">
        <f>"A2，"&amp;VLOOKUP("浸水通道", Data!$B:$C,H1,FALSE)&amp;"（解救沈老贪的地方）。"</f>
        <v>A2，浸水小径（解救沈老贪的地方）。</v>
      </c>
    </row>
    <row r="57" spans="1:2">
      <c r="A57" s="666" t="s">
        <v>6064</v>
      </c>
      <c r="B57" s="605" t="str">
        <f>VLOOKUP("Basic1", SetDungData!$A:$C,H1+1,FALSE)&amp;" 252 "&amp;VLOOKUP("Basic2", SetDungData!$A:$C,H1+1,FALSE)</f>
        <v>消灭 252 个怪物且未受到致命伤害</v>
      </c>
    </row>
    <row r="58" spans="1:2">
      <c r="A58" s="941" t="s">
        <v>6075</v>
      </c>
      <c r="B58" s="608" t="str">
        <f>VLOOKUP("Cru41", SetDungData!$A:$C,H1+1,FALSE)</f>
        <v>在 15 秒内施放 3 次天罚之剑，完成 3 次</v>
      </c>
    </row>
    <row r="59" spans="1:2">
      <c r="A59" s="941"/>
      <c r="B59" s="609" t="str">
        <f>VLOOKUP("Cru42", SetDungData!$A:$C,H1+1,FALSE)</f>
        <v>不要被任何一发轰炮击中</v>
      </c>
    </row>
    <row r="60" spans="1:2">
      <c r="A60" s="666" t="s">
        <v>6067</v>
      </c>
      <c r="B60" s="605" t="s">
        <v>6088</v>
      </c>
    </row>
    <row r="61" spans="1:2" ht="58.5" thickBot="1">
      <c r="A61" s="607" t="s">
        <v>6068</v>
      </c>
      <c r="B61" s="606" t="s">
        <v>6094</v>
      </c>
    </row>
    <row r="62" spans="1:2" ht="15" thickBot="1"/>
    <row r="63" spans="1:2" ht="23" thickBot="1">
      <c r="A63" s="749" t="s">
        <v>6096</v>
      </c>
      <c r="B63" s="751"/>
    </row>
    <row r="64" spans="1:2" ht="16.5">
      <c r="A64" s="939" t="s">
        <v>6097</v>
      </c>
      <c r="B64" s="940"/>
    </row>
    <row r="65" spans="1:2">
      <c r="A65" s="666" t="s">
        <v>6066</v>
      </c>
      <c r="B65" s="347" t="str">
        <f>"A1，"&amp;VLOOKUP("沃薩姆村", Data!$B:$C,H1,FALSE)&amp;"，小教堂地窖门口。"</f>
        <v>A1，沃桑，小教堂地窖门口。</v>
      </c>
    </row>
    <row r="66" spans="1:2">
      <c r="A66" s="666" t="s">
        <v>6064</v>
      </c>
      <c r="B66" s="605" t="str">
        <f>VLOOKUP("Basic1", SetDungData!$A:$C,H1+1,FALSE)&amp;" 200 "&amp;VLOOKUP("Basic2", SetDungData!$A:$C,H1+1,FALSE)</f>
        <v>消灭 200 个怪物且未受到致命伤害</v>
      </c>
    </row>
    <row r="67" spans="1:2">
      <c r="A67" s="941" t="s">
        <v>6075</v>
      </c>
      <c r="B67" s="608" t="str">
        <f>VLOOKUP("DH11", SetDungData!$A:$C,H1+1,FALSE)</f>
        <v>不要耗尽你的憎恨值</v>
      </c>
    </row>
    <row r="68" spans="1:2">
      <c r="A68" s="941"/>
      <c r="B68" s="609" t="str">
        <f>VLOOKUP("DH12", SetDungData!$A:$C,H1+1,FALSE)</f>
        <v>保持 90 秒的复仇之雨</v>
      </c>
    </row>
    <row r="69" spans="1:2">
      <c r="A69" s="666" t="s">
        <v>6067</v>
      </c>
      <c r="B69" s="605" t="s">
        <v>6088</v>
      </c>
    </row>
    <row r="70" spans="1:2" ht="29.5" thickBot="1">
      <c r="A70" s="607" t="s">
        <v>6068</v>
      </c>
      <c r="B70" s="606" t="s">
        <v>6152</v>
      </c>
    </row>
    <row r="71" spans="1:2" ht="16.5">
      <c r="A71" s="939" t="s">
        <v>6102</v>
      </c>
      <c r="B71" s="940"/>
    </row>
    <row r="72" spans="1:2">
      <c r="A72" s="666" t="s">
        <v>6066</v>
      </c>
      <c r="B72" s="361" t="str">
        <f>"A2，"&amp;VLOOKUP("嚎泣高原", Data!$B:$C,H1,FALSE)&amp;"（卡尔蒂姆城外的峡谷）。"</f>
        <v>A2，凄风苔原（卡尔蒂姆城外的峡谷）。</v>
      </c>
    </row>
    <row r="73" spans="1:2">
      <c r="A73" s="666" t="s">
        <v>6064</v>
      </c>
      <c r="B73" s="605" t="str">
        <f>VLOOKUP("Basic1", SetDungData!$A:$C,H1+1,FALSE)&amp;" 320 "&amp;VLOOKUP("Basic2", SetDungData!$A:$C,H1+1,FALSE)</f>
        <v>消灭 320 个怪物且未受到致命伤害</v>
      </c>
    </row>
    <row r="74" spans="1:2">
      <c r="A74" s="941" t="s">
        <v>6075</v>
      </c>
      <c r="B74" s="608" t="str">
        <f>VLOOKUP("DH21", SetDungData!$A:$C,H1+1,FALSE)</f>
        <v>使用一次多重射击击中 20 名敌人，完成 6 次</v>
      </c>
    </row>
    <row r="75" spans="1:2">
      <c r="A75" s="941"/>
      <c r="B75" s="609" t="str">
        <f>VLOOKUP("DH22", SetDungData!$A:$C,H1+1,FALSE)</f>
        <v>戒律值不能低于 50%</v>
      </c>
    </row>
    <row r="76" spans="1:2">
      <c r="A76" s="666" t="s">
        <v>6067</v>
      </c>
      <c r="B76" s="605" t="s">
        <v>6071</v>
      </c>
    </row>
    <row r="77" spans="1:2" ht="29.5" thickBot="1">
      <c r="A77" s="607" t="s">
        <v>6068</v>
      </c>
      <c r="B77" s="606" t="s">
        <v>6101</v>
      </c>
    </row>
    <row r="78" spans="1:2" ht="16.5">
      <c r="A78" s="939" t="s">
        <v>6098</v>
      </c>
      <c r="B78" s="940"/>
    </row>
    <row r="79" spans="1:2">
      <c r="A79" s="666" t="s">
        <v>6066</v>
      </c>
      <c r="B79" s="391" t="str">
        <f>"A5，"&amp;VLOOKUP("混沌界要塞第三層", Data!$B:$C,H1,FALSE)&amp;"。"</f>
        <v>A5，混沌要塞三层。</v>
      </c>
    </row>
    <row r="80" spans="1:2">
      <c r="A80" s="666" t="s">
        <v>6064</v>
      </c>
      <c r="B80" s="605" t="str">
        <f>VLOOKUP("Basic1", SetDungData!$A:$C,H1+1,FALSE)&amp;" 112 "&amp;VLOOKUP("Basic2", SetDungData!$A:$C,H1+1,FALSE)</f>
        <v>消灭 112 个怪物且未受到致命伤害</v>
      </c>
    </row>
    <row r="81" spans="1:2">
      <c r="A81" s="941" t="s">
        <v>6075</v>
      </c>
      <c r="B81" s="608" t="str">
        <f>VLOOKUP("DH31", SetDungData!$A:$C,H1+1,FALSE)</f>
        <v>衔接起连续伤害加成的暗影飞刀击中 20 名不同的敌人，完成 5 次</v>
      </c>
    </row>
    <row r="82" spans="1:2">
      <c r="A82" s="941"/>
      <c r="B82" s="609" t="str">
        <f>VLOOKUP("DH32", SetDungData!$A:$C,H1+1,FALSE)</f>
        <v>使用你的暗影之力减速 45 名不同的敌人</v>
      </c>
    </row>
    <row r="83" spans="1:2">
      <c r="A83" s="666" t="s">
        <v>6067</v>
      </c>
      <c r="B83" s="605" t="s">
        <v>6071</v>
      </c>
    </row>
    <row r="84" spans="1:2" ht="58.5" thickBot="1">
      <c r="A84" s="607" t="s">
        <v>6068</v>
      </c>
      <c r="B84" s="606" t="s">
        <v>6162</v>
      </c>
    </row>
    <row r="85" spans="1:2" ht="16.5">
      <c r="A85" s="939" t="s">
        <v>6099</v>
      </c>
      <c r="B85" s="940"/>
    </row>
    <row r="86" spans="1:2">
      <c r="A86" s="666" t="s">
        <v>6066</v>
      </c>
      <c r="B86" s="375" t="str">
        <f>"A3，"&amp;VLOOKUP("殺戮戰場", Data!$B:$C,H1,FALSE)&amp;"，投石车所在的地方。"</f>
        <v>A3，血腥战场，投石车所在的地方。</v>
      </c>
    </row>
    <row r="87" spans="1:2">
      <c r="A87" s="666" t="s">
        <v>6064</v>
      </c>
      <c r="B87" s="605" t="str">
        <f>VLOOKUP("Basic1", SetDungData!$A:$C,H1+1,FALSE)&amp;" 150 "&amp;VLOOKUP("Basic2", SetDungData!$A:$C,H1+1,FALSE)</f>
        <v>消灭 150 个怪物且未受到致命伤害</v>
      </c>
    </row>
    <row r="88" spans="1:2">
      <c r="A88" s="941" t="s">
        <v>6075</v>
      </c>
      <c r="B88" s="608" t="str">
        <f>VLOOKUP("DH41", SetDungData!$A:$C,H1+1,FALSE)</f>
        <v>在激活 3 个或更多箭塔的情况下，消灭 140 名敌人</v>
      </c>
    </row>
    <row r="89" spans="1:2">
      <c r="A89" s="941"/>
      <c r="B89" s="609" t="str">
        <f>VLOOKUP("DH42", SetDungData!$A:$C,H1+1,FALSE)</f>
        <v>不要让任何敌人进入近战范围</v>
      </c>
    </row>
    <row r="90" spans="1:2">
      <c r="A90" s="666" t="s">
        <v>6067</v>
      </c>
      <c r="B90" s="605" t="s">
        <v>6088</v>
      </c>
    </row>
    <row r="91" spans="1:2" ht="29.5" thickBot="1">
      <c r="A91" s="607" t="s">
        <v>6068</v>
      </c>
      <c r="B91" s="606" t="s">
        <v>6161</v>
      </c>
    </row>
    <row r="92" spans="1:2" ht="15" thickBot="1"/>
    <row r="93" spans="1:2" ht="23" thickBot="1">
      <c r="A93" s="749" t="s">
        <v>6104</v>
      </c>
      <c r="B93" s="751"/>
    </row>
    <row r="94" spans="1:2" ht="16.5">
      <c r="A94" s="939" t="s">
        <v>6105</v>
      </c>
      <c r="B94" s="940"/>
    </row>
    <row r="95" spans="1:2">
      <c r="A95" s="666" t="s">
        <v>6066</v>
      </c>
      <c r="B95" s="361" t="str">
        <f>"A2，"&amp;VLOOKUP("積水的下水道", Data!$B:$C,H1,FALSE)&amp;"（从卡尔蒂姆集市下去）。"</f>
        <v>A2，被淹没的堤道（从卡尔蒂姆集市下去）。</v>
      </c>
    </row>
    <row r="96" spans="1:2">
      <c r="A96" s="666" t="s">
        <v>6064</v>
      </c>
      <c r="B96" s="605" t="str">
        <f>VLOOKUP("Basic1", SetDungData!$A:$C,H1+1,FALSE)&amp;" 345 "&amp;VLOOKUP("Basic2", SetDungData!$A:$C,H1+1,FALSE)</f>
        <v>消灭 345 个怪物且未受到致命伤害</v>
      </c>
    </row>
    <row r="97" spans="1:2">
      <c r="A97" s="941" t="s">
        <v>6075</v>
      </c>
      <c r="B97" s="608" t="str">
        <f>VLOOKUP("Monk11", SetDungData!$A:$C,H1+1,FALSE)</f>
        <v>对 10 码范围内的 10 名敌人施放你的幻身，完成 5 次</v>
      </c>
    </row>
    <row r="98" spans="1:2">
      <c r="A98" s="941"/>
      <c r="B98" s="609" t="str">
        <f>VLOOKUP("Monk12", SetDungData!$A:$C,H1+1,FALSE)</f>
        <v>在地下城的持续时间内不要被冰冻</v>
      </c>
    </row>
    <row r="99" spans="1:2">
      <c r="A99" s="666" t="s">
        <v>6067</v>
      </c>
      <c r="B99" s="605" t="s">
        <v>6071</v>
      </c>
    </row>
    <row r="100" spans="1:2" ht="44" thickBot="1">
      <c r="A100" s="607" t="s">
        <v>6068</v>
      </c>
      <c r="B100" s="606" t="s">
        <v>6114</v>
      </c>
    </row>
    <row r="101" spans="1:2" ht="16.5">
      <c r="A101" s="939" t="s">
        <v>6110</v>
      </c>
      <c r="B101" s="940"/>
    </row>
    <row r="102" spans="1:2">
      <c r="A102" s="666" t="s">
        <v>6066</v>
      </c>
      <c r="B102" s="610" t="str">
        <f>"A4，"&amp;VLOOKUP("天堂之巔", Data!$B:$C,H1,FALSE)&amp;"。"</f>
        <v>A4，天堂之巅。</v>
      </c>
    </row>
    <row r="103" spans="1:2">
      <c r="A103" s="666" t="s">
        <v>6064</v>
      </c>
      <c r="B103" s="605" t="str">
        <f>VLOOKUP("Basic1", SetDungData!$A:$C,H1+1,FALSE)&amp;" 375 "&amp;VLOOKUP("Basic2", SetDungData!$A:$C,H1+1,FALSE)</f>
        <v>消灭 375 个怪物且未受到致命伤害</v>
      </c>
    </row>
    <row r="104" spans="1:2">
      <c r="A104" s="941" t="s">
        <v>6075</v>
      </c>
      <c r="B104" s="608" t="str">
        <f>VLOOKUP("Monk21", SetDungData!$A:$C,H1+1,FALSE)</f>
        <v>使用你的替身在 6 秒内击中 20 名不同的敌人</v>
      </c>
    </row>
    <row r="105" spans="1:2">
      <c r="A105" s="941"/>
      <c r="B105" s="609" t="str">
        <f>VLOOKUP("Monk22", SetDungData!$A:$C,H1+1,FALSE)</f>
        <v>在地下城持续时间内一直保持劲风煞效果</v>
      </c>
    </row>
    <row r="106" spans="1:2">
      <c r="A106" s="666" t="s">
        <v>6067</v>
      </c>
      <c r="B106" s="605" t="s">
        <v>6071</v>
      </c>
    </row>
    <row r="107" spans="1:2" ht="58.5" thickBot="1">
      <c r="A107" s="607" t="s">
        <v>6068</v>
      </c>
      <c r="B107" s="606" t="s">
        <v>6118</v>
      </c>
    </row>
    <row r="108" spans="1:2" ht="16.5">
      <c r="A108" s="939" t="s">
        <v>6113</v>
      </c>
      <c r="B108" s="940"/>
    </row>
    <row r="109" spans="1:2">
      <c r="A109" s="666" t="s">
        <v>6066</v>
      </c>
      <c r="B109" s="391" t="str">
        <f>"A5，"&amp;VLOOKUP("撒卡蘭姆大教堂", Data!$B:$C,H1,FALSE)&amp;"。"</f>
        <v>A5，萨卡兰姆大教堂。</v>
      </c>
    </row>
    <row r="110" spans="1:2">
      <c r="A110" s="666" t="s">
        <v>6064</v>
      </c>
      <c r="B110" s="605" t="str">
        <f>VLOOKUP("Basic1", SetDungData!$A:$C,H1+1,FALSE)&amp;" 196 "&amp;VLOOKUP("Basic2", SetDungData!$A:$C,H1+1,FALSE)</f>
        <v>消灭 196 个怪物且未受到致命伤害</v>
      </c>
    </row>
    <row r="111" spans="1:2">
      <c r="A111" s="941" t="s">
        <v>6075</v>
      </c>
      <c r="B111" s="608" t="str">
        <f>VLOOKUP("Monk31", SetDungData!$A:$C,H1+1,FALSE)</f>
        <v>使用爆裂掌同时炸到 21 名敌人，完成 3 次</v>
      </c>
    </row>
    <row r="112" spans="1:2">
      <c r="A112" s="941"/>
      <c r="B112" s="609" t="str">
        <f>VLOOKUP("Monk32", SetDungData!$A:$C,H1+1,FALSE)</f>
        <v>在地下城持续时间内不要受到火焰伤害</v>
      </c>
    </row>
    <row r="113" spans="1:2">
      <c r="A113" s="666" t="s">
        <v>6067</v>
      </c>
      <c r="B113" s="605" t="s">
        <v>6072</v>
      </c>
    </row>
    <row r="114" spans="1:2" ht="73" thickBot="1">
      <c r="A114" s="607" t="s">
        <v>6068</v>
      </c>
      <c r="B114" s="606" t="s">
        <v>6138</v>
      </c>
    </row>
    <row r="115" spans="1:2" ht="16.5">
      <c r="A115" s="939" t="s">
        <v>6117</v>
      </c>
      <c r="B115" s="940"/>
    </row>
    <row r="116" spans="1:2">
      <c r="A116" s="666" t="s">
        <v>6066</v>
      </c>
      <c r="B116" s="347" t="str">
        <f>"A1，"&amp;VLOOKUP("舊鎮廢墟", Data!$B:$C,H1,FALSE)&amp;"。"</f>
        <v>A1，旧废墟。</v>
      </c>
    </row>
    <row r="117" spans="1:2">
      <c r="A117" s="666" t="s">
        <v>6064</v>
      </c>
      <c r="B117" s="605" t="str">
        <f>VLOOKUP("Basic1", SetDungData!$A:$C,H1+1,FALSE)&amp;" 460 "&amp;VLOOKUP("Basic2", SetDungData!$A:$C,H1+1,FALSE)</f>
        <v>消灭 460 个怪物且未受到致命伤害</v>
      </c>
    </row>
    <row r="118" spans="1:2">
      <c r="A118" s="941" t="s">
        <v>6075</v>
      </c>
      <c r="B118" s="608" t="str">
        <f>VLOOKUP("Monk41", SetDungData!$A:$C,H1+1,FALSE)</f>
        <v>在 2 分钟内抵达地下城终点的黄金宝箱处</v>
      </c>
    </row>
    <row r="119" spans="1:2">
      <c r="A119" s="941"/>
      <c r="B119" s="609" t="str">
        <f>VLOOKUP("Monk42", SetDungData!$A:$C,H1+1,FALSE)</f>
        <v>不要被任何一个魅魔的投射物击中</v>
      </c>
    </row>
    <row r="120" spans="1:2">
      <c r="A120" s="666" t="s">
        <v>6067</v>
      </c>
      <c r="B120" s="605" t="s">
        <v>6072</v>
      </c>
    </row>
    <row r="121" spans="1:2" ht="73" thickBot="1">
      <c r="A121" s="607" t="s">
        <v>6068</v>
      </c>
      <c r="B121" s="606" t="s">
        <v>6139</v>
      </c>
    </row>
    <row r="122" spans="1:2" ht="15" thickBot="1"/>
    <row r="123" spans="1:2" ht="23" thickBot="1">
      <c r="A123" s="749" t="s">
        <v>6119</v>
      </c>
      <c r="B123" s="751"/>
    </row>
    <row r="124" spans="1:2" ht="16.5">
      <c r="A124" s="939" t="s">
        <v>6121</v>
      </c>
      <c r="B124" s="940"/>
    </row>
    <row r="125" spans="1:2">
      <c r="A125" s="666" t="s">
        <v>6066</v>
      </c>
      <c r="B125" s="361" t="str">
        <f>"A1，"&amp;VLOOKUP("舊鎮道路", Data!$B:$C,H1,FALSE)&amp;"，尽头乱葬岗附近"</f>
        <v>A1，旧崔斯特姆小道，尽头乱葬岗附近</v>
      </c>
    </row>
    <row r="126" spans="1:2">
      <c r="A126" s="666" t="s">
        <v>6064</v>
      </c>
      <c r="B126" s="605" t="str">
        <f>VLOOKUP("Basic1", SetDungData!$A:$C,H1+1,FALSE)&amp;" 155 "&amp;VLOOKUP("Basic2", SetDungData!$A:$C,H1+1,FALSE)</f>
        <v>消灭 155 个怪物且未受到致命伤害</v>
      </c>
    </row>
    <row r="127" spans="1:2">
      <c r="A127" s="941" t="s">
        <v>6075</v>
      </c>
      <c r="B127" s="608" t="str">
        <f>VLOOKUP("Wiz11", SetDungData!$A:$C,H1+1,FALSE)</f>
        <v>在有 4 层塔·拉夏叠加效果的状态下消灭 90 名敌人</v>
      </c>
    </row>
    <row r="128" spans="1:2">
      <c r="A128" s="941"/>
      <c r="B128" s="609" t="str">
        <f>VLOOKUP("Wiz12", SetDungData!$A:$C,H1+1,FALSE)</f>
        <v>不要被岩虫咬到</v>
      </c>
    </row>
    <row r="129" spans="1:2">
      <c r="A129" s="666" t="s">
        <v>6067</v>
      </c>
      <c r="B129" s="605" t="s">
        <v>6088</v>
      </c>
    </row>
    <row r="130" spans="1:2" ht="44" thickBot="1">
      <c r="A130" s="607" t="s">
        <v>6068</v>
      </c>
      <c r="B130" s="606" t="s">
        <v>6157</v>
      </c>
    </row>
    <row r="131" spans="1:2" ht="16.5">
      <c r="A131" s="939" t="s">
        <v>6124</v>
      </c>
      <c r="B131" s="940"/>
    </row>
    <row r="132" spans="1:2">
      <c r="A132" s="666" t="s">
        <v>6066</v>
      </c>
      <c r="B132" s="375" t="str">
        <f>"A3，"&amp;VLOOKUP("天冠城垛", Data!$B:$C,H1,FALSE)&amp;"，下方靠右端的眺望台。"</f>
        <v>A3，天冠城垛，下方靠右端的眺望台。</v>
      </c>
    </row>
    <row r="133" spans="1:2">
      <c r="A133" s="666" t="s">
        <v>6064</v>
      </c>
      <c r="B133" s="605" t="str">
        <f>VLOOKUP("Basic1", SetDungData!$A:$C,H1+1,FALSE)&amp;" 297 "&amp;VLOOKUP("Basic2", SetDungData!$A:$C,H1+1,FALSE)</f>
        <v>消灭 297 个怪物且未受到致命伤害</v>
      </c>
    </row>
    <row r="134" spans="1:2">
      <c r="A134" s="941" t="s">
        <v>6075</v>
      </c>
      <c r="B134" s="608" t="str">
        <f>VLOOKUP("Wiz21", SetDungData!$A:$C,H1+1,FALSE)</f>
        <v>施展一次时间延缓同时抓住 30 名不同的敌人，完成 3 次</v>
      </c>
    </row>
    <row r="135" spans="1:2">
      <c r="A135" s="941"/>
      <c r="B135" s="609" t="str">
        <f>VLOOKUP("Wiz22", SetDungData!$A:$C,H1+1,FALSE)</f>
        <v>反弹 200 个投射物</v>
      </c>
    </row>
    <row r="136" spans="1:2">
      <c r="A136" s="666" t="s">
        <v>6067</v>
      </c>
      <c r="B136" s="605" t="s">
        <v>6071</v>
      </c>
    </row>
    <row r="137" spans="1:2" ht="58.5" thickBot="1">
      <c r="A137" s="607" t="s">
        <v>6068</v>
      </c>
      <c r="B137" s="606" t="s">
        <v>6125</v>
      </c>
    </row>
    <row r="138" spans="1:2" ht="16.5">
      <c r="A138" s="939" t="s">
        <v>6126</v>
      </c>
      <c r="B138" s="940"/>
    </row>
    <row r="139" spans="1:2">
      <c r="A139" s="666" t="s">
        <v>6066</v>
      </c>
      <c r="B139" s="361" t="str">
        <f>"A2，"&amp;VLOOKUP("淒涼沙地", Data!$B:$C,H1,FALSE)&amp;"，"&amp;VLOOKUP("佐敦庫勒秘庫", Data!$B:$C,H1,FALSE)&amp;"入口附近。"</f>
        <v>A2，凄凉沙漠，佐敦·库勒藏书馆入口附近。</v>
      </c>
    </row>
    <row r="140" spans="1:2">
      <c r="A140" s="666" t="s">
        <v>6064</v>
      </c>
      <c r="B140" s="605" t="str">
        <f>VLOOKUP("Basic1", SetDungData!$A:$C,H1+1,FALSE)&amp;" 355 "&amp;VLOOKUP("Basic2", SetDungData!$A:$C,H1+1,FALSE)</f>
        <v>消灭 355 个怪物且未受到致命伤害</v>
      </c>
    </row>
    <row r="141" spans="1:2">
      <c r="A141" s="941" t="s">
        <v>6075</v>
      </c>
      <c r="B141" s="608" t="str">
        <f>VLOOKUP("Wiz31", SetDungData!$A:$C,H1+1,FALSE)</f>
        <v>在 3 秒内点燃或消灭 20 名敌人，完成 6 次</v>
      </c>
    </row>
    <row r="142" spans="1:2">
      <c r="A142" s="941"/>
      <c r="B142" s="609" t="str">
        <f>VLOOKUP("Wiz32", SetDungData!$A:$C,H1+1,FALSE)</f>
        <v>用复活你的那颗陨石击中 50 名不同的敌人</v>
      </c>
    </row>
    <row r="143" spans="1:2">
      <c r="A143" s="666" t="s">
        <v>6067</v>
      </c>
      <c r="B143" s="605" t="s">
        <v>6071</v>
      </c>
    </row>
    <row r="144" spans="1:2" ht="73" thickBot="1">
      <c r="A144" s="607" t="s">
        <v>6068</v>
      </c>
      <c r="B144" s="606" t="s">
        <v>6668</v>
      </c>
    </row>
    <row r="145" spans="1:2" ht="16.5">
      <c r="A145" s="939" t="s">
        <v>6129</v>
      </c>
      <c r="B145" s="940"/>
    </row>
    <row r="146" spans="1:2">
      <c r="A146" s="666" t="s">
        <v>6066</v>
      </c>
      <c r="B146" s="375" t="str">
        <f>"A3，"&amp;VLOOKUP("拉基斯路口", Data!$B:$C,H1,FALSE)&amp;"，尽头左侧上楼梯。"</f>
        <v>A3，拉基斯之渡，尽头左侧上楼梯。</v>
      </c>
    </row>
    <row r="147" spans="1:2">
      <c r="A147" s="666" t="s">
        <v>6064</v>
      </c>
      <c r="B147" s="605" t="str">
        <f>VLOOKUP("Basic1", SetDungData!$A:$C,H1+1,FALSE)&amp;" 565 "&amp;VLOOKUP("Basic2", SetDungData!$A:$C,H1+1,FALSE)</f>
        <v>消灭 565 个怪物且未受到致命伤害</v>
      </c>
    </row>
    <row r="148" spans="1:2">
      <c r="A148" s="941" t="s">
        <v>6075</v>
      </c>
      <c r="B148" s="608" t="str">
        <f>VLOOKUP("Wiz41", SetDungData!$A:$C,H1+1,FALSE)</f>
        <v>在御法者形态下达到 100 层叠加效果 3 次</v>
      </c>
    </row>
    <row r="149" spans="1:2">
      <c r="A149" s="941"/>
      <c r="B149" s="609" t="str">
        <f>VLOOKUP("Wiz42", SetDungData!$A:$C,H1+1,FALSE)</f>
        <v>在御法者形态下消灭 300 名敌人</v>
      </c>
    </row>
    <row r="150" spans="1:2">
      <c r="A150" s="666" t="s">
        <v>6067</v>
      </c>
      <c r="B150" s="605" t="s">
        <v>6071</v>
      </c>
    </row>
    <row r="151" spans="1:2" ht="44" thickBot="1">
      <c r="A151" s="607" t="s">
        <v>6068</v>
      </c>
      <c r="B151" s="606" t="s">
        <v>6130</v>
      </c>
    </row>
    <row r="152" spans="1:2" ht="15" thickBot="1"/>
    <row r="153" spans="1:2" ht="23" thickBot="1">
      <c r="A153" s="749" t="s">
        <v>6131</v>
      </c>
      <c r="B153" s="751"/>
    </row>
    <row r="154" spans="1:2" ht="16.5">
      <c r="A154" s="939" t="s">
        <v>6133</v>
      </c>
      <c r="B154" s="940"/>
    </row>
    <row r="155" spans="1:2">
      <c r="A155" s="666" t="s">
        <v>6066</v>
      </c>
      <c r="B155" s="375" t="str">
        <f>"A3，"&amp;VLOOKUP("亞瑞特地核", Data!$B:$C,H1,FALSE)&amp;"，中后段路左侧"</f>
        <v>A3，亚瑞特核心，中后段路左侧</v>
      </c>
    </row>
    <row r="156" spans="1:2">
      <c r="A156" s="666" t="s">
        <v>6064</v>
      </c>
      <c r="B156" s="605" t="str">
        <f>VLOOKUP("Basic1", SetDungData!$A:$C,H1+1,FALSE)&amp;" 132 "&amp;VLOOKUP("Basic2", SetDungData!$A:$C,H1+1,FALSE)</f>
        <v>消灭 132 个怪物且未受到致命伤害</v>
      </c>
    </row>
    <row r="157" spans="1:2">
      <c r="A157" s="941" t="s">
        <v>6075</v>
      </c>
      <c r="B157" s="608" t="str">
        <f>VLOOKUP("WD11", SetDungData!$A:$C,H1+1,FALSE)</f>
        <v>用亡者之握抓住 150 名敌人</v>
      </c>
    </row>
    <row r="158" spans="1:2">
      <c r="A158" s="941"/>
      <c r="B158" s="609" t="str">
        <f>VLOOKUP("WD12", SetDungData!$A:$C,H1+1,FALSE)</f>
        <v>不要让任何敌人进入近战范围</v>
      </c>
    </row>
    <row r="159" spans="1:2">
      <c r="A159" s="666" t="s">
        <v>6067</v>
      </c>
      <c r="B159" s="605" t="s">
        <v>6088</v>
      </c>
    </row>
    <row r="160" spans="1:2" ht="44" thickBot="1">
      <c r="A160" s="607" t="s">
        <v>6068</v>
      </c>
      <c r="B160" s="606" t="s">
        <v>6163</v>
      </c>
    </row>
    <row r="161" spans="1:2" ht="16.5">
      <c r="A161" s="939" t="s">
        <v>6136</v>
      </c>
      <c r="B161" s="940"/>
    </row>
    <row r="162" spans="1:2">
      <c r="A162" s="666" t="s">
        <v>6066</v>
      </c>
      <c r="B162" s="347" t="str">
        <f>"A1，"&amp;VLOOKUP("大教堂第四層-王室墓穴", Data!$B:$C,H1,FALSE)&amp;"，骷髅王Boss门口。"</f>
        <v>A1，大教堂四层-皇家墓群，骷髅王Boss门口。</v>
      </c>
    </row>
    <row r="163" spans="1:2">
      <c r="A163" s="666" t="s">
        <v>6064</v>
      </c>
      <c r="B163" s="605" t="str">
        <f>VLOOKUP("Basic1", SetDungData!$A:$C,H1+1,FALSE)&amp;" 220 "&amp;VLOOKUP("Basic2", SetDungData!$A:$C,H1+1,FALSE)</f>
        <v>消灭 220 个怪物且未受到致命伤害</v>
      </c>
    </row>
    <row r="164" spans="1:2">
      <c r="A164" s="941" t="s">
        <v>6075</v>
      </c>
      <c r="B164" s="608" t="str">
        <f>VLOOKUP("WD21", SetDungData!$A:$C,H1+1,FALSE)</f>
        <v>使用一次亡者之墙消灭 20 名敌人，完成 4 次</v>
      </c>
    </row>
    <row r="165" spans="1:2">
      <c r="A165" s="941"/>
      <c r="B165" s="609" t="str">
        <f>VLOOKUP("WD22", SetDungData!$A:$C,H1+1,FALSE)</f>
        <v>不要受到任何毒性伤害</v>
      </c>
    </row>
    <row r="166" spans="1:2">
      <c r="A166" s="666" t="s">
        <v>6067</v>
      </c>
      <c r="B166" s="605" t="s">
        <v>6072</v>
      </c>
    </row>
    <row r="167" spans="1:2" ht="73" thickBot="1">
      <c r="A167" s="607" t="s">
        <v>6068</v>
      </c>
      <c r="B167" s="606" t="s">
        <v>6137</v>
      </c>
    </row>
    <row r="168" spans="1:2" ht="16.5">
      <c r="A168" s="939" t="s">
        <v>6142</v>
      </c>
      <c r="B168" s="940"/>
    </row>
    <row r="169" spans="1:2">
      <c r="A169" s="666" t="s">
        <v>6066</v>
      </c>
      <c r="B169" s="361" t="str">
        <f>"A2，"&amp;VLOOKUP("達厄古綠洲", Data!$B:$C,H1,FALSE)&amp;"，下半区左端。"</f>
        <v>A2，达尔格绿洲，下半区左端。</v>
      </c>
    </row>
    <row r="170" spans="1:2">
      <c r="A170" s="666" t="s">
        <v>6064</v>
      </c>
      <c r="B170" s="605" t="str">
        <f>VLOOKUP("Basic1", SetDungData!$A:$C,H1+1,FALSE)&amp;" 105 "&amp;VLOOKUP("Basic2", SetDungData!$A:$C,H1+1,FALSE)</f>
        <v>消灭 105 个怪物且未受到致命伤害</v>
      </c>
    </row>
    <row r="171" spans="1:2">
      <c r="A171" s="941" t="s">
        <v>6075</v>
      </c>
      <c r="B171" s="608" t="str">
        <f>VLOOKUP("WD31", SetDungData!$A:$C,H1+1,FALSE)</f>
        <v>使用蟾蜍舔 30 名不同的敌人</v>
      </c>
    </row>
    <row r="172" spans="1:2">
      <c r="A172" s="941"/>
      <c r="B172" s="609" t="str">
        <f>VLOOKUP("WD32", SetDungData!$A:$C,H1+1,FALSE)</f>
        <v>消灭每一个同时被蛛后网住且被食人鱼噬咬的精英怪</v>
      </c>
    </row>
    <row r="173" spans="1:2">
      <c r="A173" s="666" t="s">
        <v>6067</v>
      </c>
      <c r="B173" s="605" t="s">
        <v>6088</v>
      </c>
    </row>
    <row r="174" spans="1:2" ht="44" thickBot="1">
      <c r="A174" s="607" t="s">
        <v>6068</v>
      </c>
      <c r="B174" s="606" t="s">
        <v>6143</v>
      </c>
    </row>
    <row r="175" spans="1:2" ht="16.5">
      <c r="A175" s="939" t="s">
        <v>6144</v>
      </c>
      <c r="B175" s="940"/>
    </row>
    <row r="176" spans="1:2">
      <c r="A176" s="666" t="s">
        <v>6066</v>
      </c>
      <c r="B176" s="610" t="str">
        <f>"A4，"&amp;VLOOKUP("希望園圃-聖光前廳", Data!$B:$C,H1,FALSE)&amp;"，伊斯卡图Boss房。"</f>
        <v>A4，希望花园-光明前厅，伊斯卡图Boss房。</v>
      </c>
    </row>
    <row r="177" spans="1:2">
      <c r="A177" s="666" t="s">
        <v>6064</v>
      </c>
      <c r="B177" s="605" t="str">
        <f>VLOOKUP("Basic1", SetDungData!$A:$C,H1+1,FALSE)&amp;" 435 "&amp;VLOOKUP("Basic2", SetDungData!$A:$C,H1+1,FALSE)</f>
        <v>消灭 435 个怪物且未受到致命伤害</v>
      </c>
    </row>
    <row r="178" spans="1:2">
      <c r="A178" s="941" t="s">
        <v>6075</v>
      </c>
      <c r="B178" s="608" t="str">
        <f>VLOOKUP("WD41", SetDungData!$A:$C,H1+1,FALSE)</f>
        <v>同时收割 15 名不同的敌人，完成 10 次</v>
      </c>
    </row>
    <row r="179" spans="1:2">
      <c r="A179" s="941"/>
      <c r="B179" s="609" t="str">
        <f>VLOOKUP("WD42", SetDungData!$A:$C,H1+1,FALSE)</f>
        <v>消灭 100 名同时受到瘟疫虫群和蚀魂效果影响的敌人</v>
      </c>
    </row>
    <row r="180" spans="1:2">
      <c r="A180" s="666" t="s">
        <v>6067</v>
      </c>
      <c r="B180" s="605" t="s">
        <v>6672</v>
      </c>
    </row>
    <row r="181" spans="1:2" ht="73" thickBot="1">
      <c r="A181" s="607" t="s">
        <v>6068</v>
      </c>
      <c r="B181" s="606" t="s">
        <v>6673</v>
      </c>
    </row>
  </sheetData>
  <mergeCells count="55">
    <mergeCell ref="A178:A179"/>
    <mergeCell ref="A157:A158"/>
    <mergeCell ref="A161:B161"/>
    <mergeCell ref="A164:A165"/>
    <mergeCell ref="A168:B168"/>
    <mergeCell ref="A171:A172"/>
    <mergeCell ref="A175:B175"/>
    <mergeCell ref="A154:B154"/>
    <mergeCell ref="A118:A119"/>
    <mergeCell ref="A123:B123"/>
    <mergeCell ref="A124:B124"/>
    <mergeCell ref="A127:A128"/>
    <mergeCell ref="A131:B131"/>
    <mergeCell ref="A134:A135"/>
    <mergeCell ref="A138:B138"/>
    <mergeCell ref="A141:A142"/>
    <mergeCell ref="A145:B145"/>
    <mergeCell ref="A148:A149"/>
    <mergeCell ref="A153:B153"/>
    <mergeCell ref="A115:B115"/>
    <mergeCell ref="A78:B78"/>
    <mergeCell ref="A81:A82"/>
    <mergeCell ref="A85:B85"/>
    <mergeCell ref="A88:A89"/>
    <mergeCell ref="A93:B93"/>
    <mergeCell ref="A94:B94"/>
    <mergeCell ref="A97:A98"/>
    <mergeCell ref="A101:B101"/>
    <mergeCell ref="A104:A105"/>
    <mergeCell ref="A108:B108"/>
    <mergeCell ref="A111:A112"/>
    <mergeCell ref="A74:A75"/>
    <mergeCell ref="A37:A38"/>
    <mergeCell ref="A41:B41"/>
    <mergeCell ref="A44:A45"/>
    <mergeCell ref="A48:B48"/>
    <mergeCell ref="A51:A52"/>
    <mergeCell ref="A55:B55"/>
    <mergeCell ref="A58:A59"/>
    <mergeCell ref="A63:B63"/>
    <mergeCell ref="A64:B64"/>
    <mergeCell ref="A67:A68"/>
    <mergeCell ref="A71:B71"/>
    <mergeCell ref="A34:B34"/>
    <mergeCell ref="A2:B2"/>
    <mergeCell ref="A3:B3"/>
    <mergeCell ref="A4:B4"/>
    <mergeCell ref="A7:A8"/>
    <mergeCell ref="A11:B11"/>
    <mergeCell ref="A14:A15"/>
    <mergeCell ref="A18:B18"/>
    <mergeCell ref="A21:A22"/>
    <mergeCell ref="A25:B25"/>
    <mergeCell ref="A28:A29"/>
    <mergeCell ref="A33:B33"/>
  </mergeCells>
  <phoneticPr fontId="7" type="noConversion"/>
  <dataValidations count="1">
    <dataValidation type="list" allowBlank="1" showInputMessage="1" showErrorMessage="1" sqref="D1" xr:uid="{00000000-0002-0000-1500-000000000000}">
      <formula1>"繁體中文,简体中文"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813"/>
  <sheetViews>
    <sheetView topLeftCell="A998" zoomScaleNormal="100" workbookViewId="0">
      <selection activeCell="C1023" sqref="C1023"/>
    </sheetView>
  </sheetViews>
  <sheetFormatPr defaultColWidth="9" defaultRowHeight="14.25" customHeight="1"/>
  <cols>
    <col min="1" max="1" width="9" style="45"/>
    <col min="2" max="2" width="23.1640625" style="45" customWidth="1"/>
    <col min="3" max="3" width="26.58203125" style="45" customWidth="1"/>
    <col min="4" max="4" width="31" style="45" customWidth="1"/>
    <col min="5" max="6" width="18.58203125" style="45" customWidth="1"/>
    <col min="7" max="7" width="13.5" style="45" customWidth="1"/>
    <col min="8" max="16384" width="9" style="45"/>
  </cols>
  <sheetData>
    <row r="1" spans="1:8" ht="14.25" customHeight="1">
      <c r="A1" s="61" t="s">
        <v>2024</v>
      </c>
      <c r="B1" s="60"/>
    </row>
    <row r="2" spans="1:8" ht="14.25" customHeight="1">
      <c r="A2" s="60" t="s">
        <v>1365</v>
      </c>
      <c r="B2" s="60">
        <v>1</v>
      </c>
    </row>
    <row r="3" spans="1:8" ht="14.25" customHeight="1">
      <c r="A3" s="60" t="s">
        <v>1366</v>
      </c>
      <c r="B3" s="60">
        <v>2</v>
      </c>
    </row>
    <row r="4" spans="1:8" ht="14.25" customHeight="1">
      <c r="A4" s="60" t="s">
        <v>2025</v>
      </c>
      <c r="B4" s="60">
        <v>3</v>
      </c>
      <c r="C4" s="19" t="s">
        <v>2627</v>
      </c>
    </row>
    <row r="6" spans="1:8" ht="14.25" customHeight="1">
      <c r="A6" s="61" t="s">
        <v>2026</v>
      </c>
    </row>
    <row r="7" spans="1:8" ht="14.25" customHeight="1">
      <c r="A7" s="27" t="s">
        <v>1360</v>
      </c>
      <c r="B7" s="27" t="s">
        <v>718</v>
      </c>
      <c r="C7" s="27" t="s">
        <v>720</v>
      </c>
      <c r="D7" s="27" t="s">
        <v>719</v>
      </c>
      <c r="E7" s="27" t="s">
        <v>1356</v>
      </c>
      <c r="F7" s="27" t="s">
        <v>1357</v>
      </c>
      <c r="G7" s="27" t="s">
        <v>721</v>
      </c>
      <c r="H7" s="52" t="s">
        <v>722</v>
      </c>
    </row>
    <row r="8" spans="1:8" ht="14.25" customHeight="1">
      <c r="A8" s="45">
        <v>1</v>
      </c>
      <c r="B8" s="55" t="s">
        <v>2499</v>
      </c>
      <c r="C8" s="36" t="s">
        <v>2512</v>
      </c>
      <c r="D8" s="175" t="s">
        <v>2518</v>
      </c>
      <c r="E8" s="19" t="s">
        <v>2492</v>
      </c>
      <c r="F8" s="19" t="s">
        <v>2493</v>
      </c>
      <c r="G8" s="174" t="s">
        <v>2519</v>
      </c>
    </row>
    <row r="9" spans="1:8" ht="14.25" customHeight="1">
      <c r="A9" s="45">
        <v>2</v>
      </c>
      <c r="B9" s="175" t="s">
        <v>2582</v>
      </c>
      <c r="C9" s="36" t="s">
        <v>2576</v>
      </c>
      <c r="D9" s="175" t="s">
        <v>2517</v>
      </c>
      <c r="E9" s="19" t="s">
        <v>2492</v>
      </c>
      <c r="F9" s="19" t="s">
        <v>2493</v>
      </c>
      <c r="G9" s="174" t="s">
        <v>2519</v>
      </c>
    </row>
    <row r="10" spans="1:8" ht="14.25" customHeight="1">
      <c r="A10" s="45">
        <v>3</v>
      </c>
      <c r="B10" s="55" t="s">
        <v>2497</v>
      </c>
      <c r="C10" s="36" t="s">
        <v>1834</v>
      </c>
      <c r="D10" s="175" t="s">
        <v>2518</v>
      </c>
      <c r="E10" s="19" t="s">
        <v>2492</v>
      </c>
      <c r="F10" s="19" t="s">
        <v>2493</v>
      </c>
      <c r="G10" s="174" t="s">
        <v>2519</v>
      </c>
    </row>
    <row r="11" spans="1:8" ht="14.25" customHeight="1">
      <c r="A11" s="45">
        <v>4</v>
      </c>
      <c r="B11" s="55" t="s">
        <v>2498</v>
      </c>
      <c r="C11" s="36" t="s">
        <v>1874</v>
      </c>
      <c r="D11" s="175" t="s">
        <v>2518</v>
      </c>
      <c r="E11" s="19" t="s">
        <v>2492</v>
      </c>
      <c r="F11" s="19" t="s">
        <v>2493</v>
      </c>
      <c r="G11" s="174" t="s">
        <v>2519</v>
      </c>
    </row>
    <row r="12" spans="1:8" ht="14.25" customHeight="1">
      <c r="A12" s="45">
        <v>5</v>
      </c>
      <c r="B12" s="176" t="s">
        <v>2501</v>
      </c>
      <c r="C12" s="50" t="s">
        <v>1931</v>
      </c>
      <c r="D12" s="176" t="s">
        <v>2518</v>
      </c>
      <c r="E12" s="19" t="s">
        <v>2492</v>
      </c>
      <c r="F12" s="19" t="s">
        <v>2493</v>
      </c>
      <c r="G12" s="174" t="s">
        <v>2520</v>
      </c>
    </row>
    <row r="13" spans="1:8" ht="14.25" customHeight="1">
      <c r="A13" s="45">
        <v>6</v>
      </c>
      <c r="B13" s="176" t="s">
        <v>2502</v>
      </c>
      <c r="C13" s="50" t="s">
        <v>1946</v>
      </c>
      <c r="D13" s="176" t="s">
        <v>2518</v>
      </c>
      <c r="E13" s="19" t="s">
        <v>2492</v>
      </c>
      <c r="F13" s="19" t="s">
        <v>2493</v>
      </c>
      <c r="G13" s="174" t="s">
        <v>2520</v>
      </c>
    </row>
    <row r="14" spans="1:8" ht="14.25" customHeight="1">
      <c r="A14" s="45">
        <v>7</v>
      </c>
      <c r="B14" s="176" t="s">
        <v>2583</v>
      </c>
      <c r="C14" s="176" t="s">
        <v>2577</v>
      </c>
      <c r="D14" s="176" t="s">
        <v>2517</v>
      </c>
      <c r="E14" s="19" t="s">
        <v>2492</v>
      </c>
      <c r="F14" s="19" t="s">
        <v>2493</v>
      </c>
      <c r="G14" s="174" t="s">
        <v>2520</v>
      </c>
    </row>
    <row r="15" spans="1:8" ht="14.25" customHeight="1">
      <c r="A15" s="45">
        <v>8</v>
      </c>
      <c r="B15" s="183" t="s">
        <v>2500</v>
      </c>
      <c r="C15" s="50" t="s">
        <v>1735</v>
      </c>
      <c r="D15" s="176" t="s">
        <v>2518</v>
      </c>
      <c r="E15" s="19" t="s">
        <v>2492</v>
      </c>
      <c r="F15" s="19" t="s">
        <v>2493</v>
      </c>
      <c r="G15" s="174" t="s">
        <v>2520</v>
      </c>
    </row>
    <row r="16" spans="1:8" ht="14.25" customHeight="1">
      <c r="A16" s="45">
        <v>9</v>
      </c>
      <c r="B16" s="259" t="s">
        <v>2503</v>
      </c>
      <c r="C16" s="254" t="s">
        <v>1960</v>
      </c>
      <c r="D16" s="259" t="s">
        <v>2518</v>
      </c>
      <c r="E16" s="19" t="s">
        <v>2492</v>
      </c>
      <c r="F16" s="19" t="s">
        <v>2493</v>
      </c>
      <c r="G16" s="174" t="s">
        <v>2521</v>
      </c>
    </row>
    <row r="17" spans="1:7" ht="14.25" customHeight="1">
      <c r="A17" s="45">
        <v>10</v>
      </c>
      <c r="B17" s="259" t="s">
        <v>2504</v>
      </c>
      <c r="C17" s="254" t="s">
        <v>1971</v>
      </c>
      <c r="D17" s="259" t="s">
        <v>2518</v>
      </c>
      <c r="E17" s="19" t="s">
        <v>2492</v>
      </c>
      <c r="F17" s="19" t="s">
        <v>2493</v>
      </c>
      <c r="G17" s="174" t="s">
        <v>2521</v>
      </c>
    </row>
    <row r="18" spans="1:7" ht="14.25" customHeight="1">
      <c r="A18" s="45">
        <v>11</v>
      </c>
      <c r="B18" s="259" t="s">
        <v>2505</v>
      </c>
      <c r="C18" s="259" t="s">
        <v>2513</v>
      </c>
      <c r="D18" s="259" t="s">
        <v>2518</v>
      </c>
      <c r="E18" s="19" t="s">
        <v>2492</v>
      </c>
      <c r="F18" s="19" t="s">
        <v>2493</v>
      </c>
      <c r="G18" s="174" t="s">
        <v>2521</v>
      </c>
    </row>
    <row r="19" spans="1:7" ht="14.25" customHeight="1">
      <c r="A19" s="45">
        <v>12</v>
      </c>
      <c r="B19" s="259" t="s">
        <v>2584</v>
      </c>
      <c r="C19" s="259" t="s">
        <v>2578</v>
      </c>
      <c r="D19" s="259" t="s">
        <v>2517</v>
      </c>
      <c r="E19" s="19" t="s">
        <v>2492</v>
      </c>
      <c r="F19" s="19" t="s">
        <v>2493</v>
      </c>
      <c r="G19" s="174" t="s">
        <v>2587</v>
      </c>
    </row>
    <row r="20" spans="1:7" ht="14.25" customHeight="1">
      <c r="A20" s="45">
        <v>13</v>
      </c>
      <c r="B20" s="178" t="s">
        <v>2507</v>
      </c>
      <c r="C20" s="51" t="s">
        <v>1993</v>
      </c>
      <c r="D20" s="178" t="s">
        <v>2518</v>
      </c>
      <c r="E20" s="19" t="s">
        <v>2492</v>
      </c>
      <c r="F20" s="19" t="s">
        <v>2493</v>
      </c>
      <c r="G20" s="174" t="s">
        <v>2522</v>
      </c>
    </row>
    <row r="21" spans="1:7" ht="14.25" customHeight="1">
      <c r="A21" s="45">
        <v>14</v>
      </c>
      <c r="B21" s="178" t="s">
        <v>2506</v>
      </c>
      <c r="C21" s="178" t="s">
        <v>2514</v>
      </c>
      <c r="D21" s="178" t="s">
        <v>2518</v>
      </c>
      <c r="E21" s="19" t="s">
        <v>2492</v>
      </c>
      <c r="F21" s="19" t="s">
        <v>2493</v>
      </c>
      <c r="G21" s="174" t="s">
        <v>2522</v>
      </c>
    </row>
    <row r="22" spans="1:7" ht="14.25" customHeight="1">
      <c r="A22" s="45">
        <v>15</v>
      </c>
      <c r="B22" s="178" t="s">
        <v>2508</v>
      </c>
      <c r="C22" s="51" t="s">
        <v>1994</v>
      </c>
      <c r="D22" s="178" t="s">
        <v>2518</v>
      </c>
      <c r="E22" s="19" t="s">
        <v>2492</v>
      </c>
      <c r="F22" s="19" t="s">
        <v>2493</v>
      </c>
      <c r="G22" s="174" t="s">
        <v>2522</v>
      </c>
    </row>
    <row r="23" spans="1:7" ht="14.25" customHeight="1">
      <c r="A23" s="45">
        <v>16</v>
      </c>
      <c r="B23" s="178" t="s">
        <v>2585</v>
      </c>
      <c r="C23" s="178" t="s">
        <v>2579</v>
      </c>
      <c r="D23" s="178" t="s">
        <v>2517</v>
      </c>
      <c r="E23" s="19" t="s">
        <v>2492</v>
      </c>
      <c r="F23" s="19" t="s">
        <v>2493</v>
      </c>
      <c r="G23" s="174" t="s">
        <v>2588</v>
      </c>
    </row>
    <row r="24" spans="1:7" ht="14.25" customHeight="1">
      <c r="A24" s="45">
        <v>17</v>
      </c>
      <c r="B24" s="56" t="s">
        <v>3760</v>
      </c>
      <c r="C24" s="56" t="s">
        <v>3842</v>
      </c>
      <c r="D24" s="56" t="s">
        <v>3655</v>
      </c>
      <c r="E24" s="19" t="s">
        <v>3763</v>
      </c>
      <c r="F24" s="19" t="s">
        <v>3764</v>
      </c>
      <c r="G24" s="19" t="s">
        <v>2538</v>
      </c>
    </row>
    <row r="25" spans="1:7" ht="14.25" customHeight="1">
      <c r="A25" s="45">
        <v>18</v>
      </c>
      <c r="B25" s="56" t="s">
        <v>3757</v>
      </c>
      <c r="C25" s="56" t="s">
        <v>3839</v>
      </c>
      <c r="D25" s="56" t="s">
        <v>3655</v>
      </c>
      <c r="E25" s="19" t="s">
        <v>3763</v>
      </c>
      <c r="F25" s="19" t="s">
        <v>3764</v>
      </c>
      <c r="G25" s="19" t="s">
        <v>2538</v>
      </c>
    </row>
    <row r="26" spans="1:7" ht="14.25" customHeight="1">
      <c r="A26" s="45">
        <v>19</v>
      </c>
      <c r="B26" s="56" t="s">
        <v>3758</v>
      </c>
      <c r="C26" s="56" t="s">
        <v>3840</v>
      </c>
      <c r="D26" s="56" t="s">
        <v>3655</v>
      </c>
      <c r="E26" s="19" t="s">
        <v>3763</v>
      </c>
      <c r="F26" s="19" t="s">
        <v>3764</v>
      </c>
      <c r="G26" s="19" t="s">
        <v>2538</v>
      </c>
    </row>
    <row r="27" spans="1:7" ht="14.25" customHeight="1">
      <c r="A27" s="45">
        <v>20</v>
      </c>
      <c r="B27" s="56" t="s">
        <v>2486</v>
      </c>
      <c r="C27" s="56" t="s">
        <v>2487</v>
      </c>
      <c r="D27" s="56" t="s">
        <v>2496</v>
      </c>
      <c r="E27" s="19" t="s">
        <v>2492</v>
      </c>
      <c r="F27" s="19" t="s">
        <v>2493</v>
      </c>
      <c r="G27" s="19" t="s">
        <v>2495</v>
      </c>
    </row>
    <row r="28" spans="1:7" ht="14.25" customHeight="1">
      <c r="A28" s="45">
        <v>21</v>
      </c>
      <c r="B28" s="56" t="s">
        <v>3755</v>
      </c>
      <c r="C28" s="56" t="s">
        <v>3837</v>
      </c>
      <c r="D28" s="56" t="s">
        <v>3655</v>
      </c>
      <c r="E28" s="19" t="s">
        <v>3763</v>
      </c>
      <c r="F28" s="19" t="s">
        <v>3764</v>
      </c>
      <c r="G28" s="19" t="s">
        <v>2538</v>
      </c>
    </row>
    <row r="29" spans="1:7" ht="14.25" customHeight="1">
      <c r="A29" s="45">
        <v>22</v>
      </c>
      <c r="B29" s="56" t="s">
        <v>3756</v>
      </c>
      <c r="C29" s="56" t="s">
        <v>3838</v>
      </c>
      <c r="D29" s="56" t="s">
        <v>3655</v>
      </c>
      <c r="E29" s="19" t="s">
        <v>3763</v>
      </c>
      <c r="F29" s="19" t="s">
        <v>3764</v>
      </c>
      <c r="G29" s="19" t="s">
        <v>2538</v>
      </c>
    </row>
    <row r="30" spans="1:7" ht="14.25" customHeight="1">
      <c r="A30" s="45">
        <v>23</v>
      </c>
      <c r="B30" s="179" t="s">
        <v>2530</v>
      </c>
      <c r="C30" s="44" t="s">
        <v>2535</v>
      </c>
      <c r="D30" s="179" t="s">
        <v>2518</v>
      </c>
      <c r="E30" s="19" t="s">
        <v>2492</v>
      </c>
      <c r="F30" s="19" t="s">
        <v>2493</v>
      </c>
      <c r="G30" s="174" t="s">
        <v>2538</v>
      </c>
    </row>
    <row r="31" spans="1:7" ht="14.25" customHeight="1">
      <c r="A31" s="45">
        <v>24</v>
      </c>
      <c r="B31" s="56" t="s">
        <v>3759</v>
      </c>
      <c r="C31" s="56" t="s">
        <v>3841</v>
      </c>
      <c r="D31" s="56" t="s">
        <v>3655</v>
      </c>
      <c r="E31" s="19" t="s">
        <v>3763</v>
      </c>
      <c r="F31" s="19" t="s">
        <v>3764</v>
      </c>
      <c r="G31" s="19" t="s">
        <v>2538</v>
      </c>
    </row>
    <row r="32" spans="1:7" ht="14.25" customHeight="1">
      <c r="A32" s="45">
        <v>25</v>
      </c>
      <c r="B32" s="179" t="s">
        <v>2510</v>
      </c>
      <c r="C32" s="44" t="s">
        <v>2516</v>
      </c>
      <c r="D32" s="179" t="s">
        <v>2518</v>
      </c>
      <c r="E32" s="19" t="s">
        <v>2492</v>
      </c>
      <c r="F32" s="19" t="s">
        <v>2493</v>
      </c>
      <c r="G32" s="174" t="s">
        <v>2523</v>
      </c>
    </row>
    <row r="33" spans="1:7" ht="14.25" customHeight="1">
      <c r="A33" s="45">
        <v>26</v>
      </c>
      <c r="B33" s="179" t="s">
        <v>2528</v>
      </c>
      <c r="C33" s="44" t="s">
        <v>2533</v>
      </c>
      <c r="D33" s="179" t="s">
        <v>2518</v>
      </c>
      <c r="E33" s="19" t="s">
        <v>2492</v>
      </c>
      <c r="F33" s="19" t="s">
        <v>2493</v>
      </c>
      <c r="G33" s="174" t="s">
        <v>2538</v>
      </c>
    </row>
    <row r="34" spans="1:7" ht="14.25" customHeight="1">
      <c r="A34" s="45">
        <v>27</v>
      </c>
      <c r="B34" s="179" t="s">
        <v>2511</v>
      </c>
      <c r="C34" s="179" t="s">
        <v>2580</v>
      </c>
      <c r="D34" s="179" t="s">
        <v>2518</v>
      </c>
      <c r="E34" s="19" t="s">
        <v>2492</v>
      </c>
      <c r="F34" s="19" t="s">
        <v>2493</v>
      </c>
      <c r="G34" s="174" t="s">
        <v>2523</v>
      </c>
    </row>
    <row r="35" spans="1:7" ht="14.25" customHeight="1">
      <c r="A35" s="45">
        <v>28</v>
      </c>
      <c r="B35" s="179" t="s">
        <v>2586</v>
      </c>
      <c r="C35" s="179" t="s">
        <v>2581</v>
      </c>
      <c r="D35" s="179" t="s">
        <v>2517</v>
      </c>
      <c r="E35" s="19" t="s">
        <v>2492</v>
      </c>
      <c r="F35" s="19" t="s">
        <v>2493</v>
      </c>
      <c r="G35" s="174" t="s">
        <v>2538</v>
      </c>
    </row>
    <row r="36" spans="1:7" ht="14.25" customHeight="1">
      <c r="A36" s="45">
        <v>29</v>
      </c>
      <c r="B36" s="179" t="s">
        <v>2529</v>
      </c>
      <c r="C36" s="179" t="s">
        <v>2534</v>
      </c>
      <c r="D36" s="179" t="s">
        <v>2518</v>
      </c>
      <c r="E36" s="19" t="s">
        <v>2492</v>
      </c>
      <c r="F36" s="19" t="s">
        <v>2493</v>
      </c>
      <c r="G36" s="174" t="s">
        <v>2538</v>
      </c>
    </row>
    <row r="37" spans="1:7" ht="14.25" customHeight="1">
      <c r="A37" s="45">
        <v>30</v>
      </c>
      <c r="B37" s="56" t="s">
        <v>2480</v>
      </c>
      <c r="C37" s="56" t="s">
        <v>2483</v>
      </c>
      <c r="D37" s="56" t="s">
        <v>2496</v>
      </c>
      <c r="E37" s="19" t="s">
        <v>2492</v>
      </c>
      <c r="F37" s="19" t="s">
        <v>2493</v>
      </c>
      <c r="G37" s="19" t="s">
        <v>2495</v>
      </c>
    </row>
    <row r="38" spans="1:7" ht="14.25" customHeight="1">
      <c r="A38" s="45">
        <v>31</v>
      </c>
      <c r="B38" s="179" t="s">
        <v>2509</v>
      </c>
      <c r="C38" s="44" t="s">
        <v>2515</v>
      </c>
      <c r="D38" s="179" t="s">
        <v>2518</v>
      </c>
      <c r="E38" s="19" t="s">
        <v>2492</v>
      </c>
      <c r="F38" s="19" t="s">
        <v>2493</v>
      </c>
      <c r="G38" s="174" t="s">
        <v>2523</v>
      </c>
    </row>
    <row r="39" spans="1:7" ht="14.25" customHeight="1">
      <c r="A39" s="45">
        <v>32</v>
      </c>
      <c r="B39" s="56" t="s">
        <v>3761</v>
      </c>
      <c r="C39" s="56" t="s">
        <v>3843</v>
      </c>
      <c r="D39" s="56" t="s">
        <v>3655</v>
      </c>
      <c r="E39" s="19" t="s">
        <v>3763</v>
      </c>
      <c r="F39" s="19" t="s">
        <v>3764</v>
      </c>
      <c r="G39" s="19" t="s">
        <v>2538</v>
      </c>
    </row>
    <row r="40" spans="1:7" ht="14.25" customHeight="1">
      <c r="A40" s="45">
        <v>33</v>
      </c>
      <c r="B40" s="179" t="s">
        <v>2526</v>
      </c>
      <c r="C40" s="179" t="s">
        <v>2527</v>
      </c>
      <c r="D40" s="56" t="s">
        <v>2496</v>
      </c>
      <c r="E40" s="19" t="s">
        <v>2492</v>
      </c>
      <c r="F40" s="19" t="s">
        <v>2493</v>
      </c>
      <c r="G40" s="19" t="s">
        <v>2495</v>
      </c>
    </row>
    <row r="41" spans="1:7" ht="14.25" customHeight="1">
      <c r="A41" s="45">
        <v>34</v>
      </c>
      <c r="B41" s="179" t="s">
        <v>2524</v>
      </c>
      <c r="C41" s="179" t="s">
        <v>2525</v>
      </c>
      <c r="D41" s="56" t="s">
        <v>2496</v>
      </c>
      <c r="E41" s="19" t="s">
        <v>2492</v>
      </c>
      <c r="F41" s="19" t="s">
        <v>2493</v>
      </c>
      <c r="G41" s="19" t="s">
        <v>2495</v>
      </c>
    </row>
    <row r="42" spans="1:7" ht="14.25" customHeight="1">
      <c r="A42" s="45">
        <v>35</v>
      </c>
      <c r="B42" s="179" t="s">
        <v>2531</v>
      </c>
      <c r="C42" s="44" t="s">
        <v>2536</v>
      </c>
      <c r="D42" s="179" t="s">
        <v>2518</v>
      </c>
      <c r="E42" s="19" t="s">
        <v>2492</v>
      </c>
      <c r="F42" s="19" t="s">
        <v>2493</v>
      </c>
      <c r="G42" s="174" t="s">
        <v>2538</v>
      </c>
    </row>
    <row r="43" spans="1:7" ht="14.25" customHeight="1">
      <c r="A43" s="45">
        <v>36</v>
      </c>
      <c r="B43" s="179" t="s">
        <v>2532</v>
      </c>
      <c r="C43" s="179" t="s">
        <v>2537</v>
      </c>
      <c r="D43" s="179" t="s">
        <v>2517</v>
      </c>
      <c r="E43" s="19" t="s">
        <v>2492</v>
      </c>
      <c r="F43" s="19" t="s">
        <v>2493</v>
      </c>
      <c r="G43" s="174" t="s">
        <v>2538</v>
      </c>
    </row>
    <row r="44" spans="1:7" ht="14.25" customHeight="1">
      <c r="A44" s="45">
        <v>37</v>
      </c>
      <c r="B44" s="56" t="s">
        <v>3754</v>
      </c>
      <c r="C44" s="56" t="s">
        <v>3836</v>
      </c>
      <c r="D44" s="56" t="s">
        <v>3655</v>
      </c>
      <c r="E44" s="19" t="s">
        <v>3763</v>
      </c>
      <c r="F44" s="19" t="s">
        <v>3764</v>
      </c>
      <c r="G44" s="19" t="s">
        <v>2538</v>
      </c>
    </row>
    <row r="45" spans="1:7" ht="14.25" customHeight="1">
      <c r="A45" s="45">
        <v>38</v>
      </c>
      <c r="B45" s="182" t="s">
        <v>3751</v>
      </c>
      <c r="C45" s="182" t="s">
        <v>3833</v>
      </c>
      <c r="D45" s="182" t="s">
        <v>3655</v>
      </c>
      <c r="E45" s="19" t="s">
        <v>3763</v>
      </c>
      <c r="F45" s="19" t="s">
        <v>3764</v>
      </c>
      <c r="G45" s="19" t="s">
        <v>3765</v>
      </c>
    </row>
    <row r="46" spans="1:7" ht="14.25" customHeight="1">
      <c r="A46" s="45">
        <v>39</v>
      </c>
      <c r="B46" s="182" t="s">
        <v>3749</v>
      </c>
      <c r="C46" s="182" t="s">
        <v>3831</v>
      </c>
      <c r="D46" s="182" t="s">
        <v>3655</v>
      </c>
      <c r="E46" s="19" t="s">
        <v>3763</v>
      </c>
      <c r="F46" s="19" t="s">
        <v>3764</v>
      </c>
      <c r="G46" s="19" t="s">
        <v>3765</v>
      </c>
    </row>
    <row r="47" spans="1:7" ht="14.25" customHeight="1">
      <c r="A47" s="45">
        <v>40</v>
      </c>
      <c r="B47" s="182" t="s">
        <v>2481</v>
      </c>
      <c r="C47" s="182" t="s">
        <v>2482</v>
      </c>
      <c r="D47" s="182" t="s">
        <v>2496</v>
      </c>
      <c r="E47" s="19" t="s">
        <v>2492</v>
      </c>
      <c r="F47" s="19" t="s">
        <v>2493</v>
      </c>
      <c r="G47" s="19" t="s">
        <v>2494</v>
      </c>
    </row>
    <row r="48" spans="1:7" ht="14.25" customHeight="1">
      <c r="A48" s="45">
        <v>41</v>
      </c>
      <c r="B48" s="182" t="s">
        <v>3748</v>
      </c>
      <c r="C48" s="182" t="s">
        <v>3830</v>
      </c>
      <c r="D48" s="182" t="s">
        <v>3655</v>
      </c>
      <c r="E48" s="19" t="s">
        <v>3763</v>
      </c>
      <c r="F48" s="19" t="s">
        <v>3764</v>
      </c>
      <c r="G48" s="19" t="s">
        <v>3765</v>
      </c>
    </row>
    <row r="49" spans="1:7" ht="14.25" customHeight="1">
      <c r="A49" s="45">
        <v>42</v>
      </c>
      <c r="B49" s="182" t="s">
        <v>3750</v>
      </c>
      <c r="C49" s="182" t="s">
        <v>3832</v>
      </c>
      <c r="D49" s="182" t="s">
        <v>3655</v>
      </c>
      <c r="E49" s="19" t="s">
        <v>3763</v>
      </c>
      <c r="F49" s="19" t="s">
        <v>3764</v>
      </c>
      <c r="G49" s="19" t="s">
        <v>3765</v>
      </c>
    </row>
    <row r="50" spans="1:7" ht="14.25" customHeight="1">
      <c r="A50" s="45">
        <v>43</v>
      </c>
      <c r="B50" s="182" t="s">
        <v>3747</v>
      </c>
      <c r="C50" s="182" t="s">
        <v>3829</v>
      </c>
      <c r="D50" s="182" t="s">
        <v>3655</v>
      </c>
      <c r="E50" s="19" t="s">
        <v>3763</v>
      </c>
      <c r="F50" s="19" t="s">
        <v>3764</v>
      </c>
      <c r="G50" s="19" t="s">
        <v>3765</v>
      </c>
    </row>
    <row r="51" spans="1:7" ht="14.25" customHeight="1">
      <c r="A51" s="45">
        <v>44</v>
      </c>
      <c r="B51" s="182" t="s">
        <v>3745</v>
      </c>
      <c r="C51" s="182" t="s">
        <v>3827</v>
      </c>
      <c r="D51" s="182" t="s">
        <v>3655</v>
      </c>
      <c r="E51" s="19" t="s">
        <v>3763</v>
      </c>
      <c r="F51" s="19" t="s">
        <v>3764</v>
      </c>
      <c r="G51" s="19" t="s">
        <v>3765</v>
      </c>
    </row>
    <row r="52" spans="1:7" ht="14.25" customHeight="1">
      <c r="A52" s="45">
        <v>45</v>
      </c>
      <c r="B52" s="182" t="s">
        <v>3762</v>
      </c>
      <c r="C52" s="182" t="s">
        <v>3844</v>
      </c>
      <c r="D52" s="182" t="s">
        <v>3870</v>
      </c>
      <c r="E52" s="19" t="s">
        <v>3763</v>
      </c>
      <c r="F52" s="19" t="s">
        <v>3764</v>
      </c>
      <c r="G52" s="19" t="s">
        <v>3765</v>
      </c>
    </row>
    <row r="53" spans="1:7" ht="14.25" customHeight="1">
      <c r="A53" s="45">
        <v>46</v>
      </c>
      <c r="B53" s="182" t="s">
        <v>3753</v>
      </c>
      <c r="C53" s="182" t="s">
        <v>3835</v>
      </c>
      <c r="D53" s="182" t="s">
        <v>3655</v>
      </c>
      <c r="E53" s="19" t="s">
        <v>3763</v>
      </c>
      <c r="F53" s="19" t="s">
        <v>3764</v>
      </c>
      <c r="G53" s="19" t="s">
        <v>3765</v>
      </c>
    </row>
    <row r="54" spans="1:7" ht="14.25" customHeight="1">
      <c r="A54" s="45">
        <v>47</v>
      </c>
      <c r="B54" s="182" t="s">
        <v>2478</v>
      </c>
      <c r="C54" s="182" t="s">
        <v>2479</v>
      </c>
      <c r="D54" s="182" t="s">
        <v>2496</v>
      </c>
      <c r="E54" s="19" t="s">
        <v>2492</v>
      </c>
      <c r="F54" s="19" t="s">
        <v>2493</v>
      </c>
      <c r="G54" s="19" t="s">
        <v>2494</v>
      </c>
    </row>
    <row r="55" spans="1:7" ht="14.25" customHeight="1">
      <c r="A55" s="45">
        <v>48</v>
      </c>
      <c r="B55" s="182" t="s">
        <v>2484</v>
      </c>
      <c r="C55" s="182" t="s">
        <v>2485</v>
      </c>
      <c r="D55" s="182" t="s">
        <v>2496</v>
      </c>
      <c r="E55" s="19" t="s">
        <v>2492</v>
      </c>
      <c r="F55" s="19" t="s">
        <v>2493</v>
      </c>
      <c r="G55" s="19" t="s">
        <v>2494</v>
      </c>
    </row>
    <row r="56" spans="1:7" ht="14.25" customHeight="1">
      <c r="A56" s="45">
        <v>49</v>
      </c>
      <c r="B56" s="182" t="s">
        <v>2490</v>
      </c>
      <c r="C56" s="182" t="s">
        <v>2491</v>
      </c>
      <c r="D56" s="182" t="s">
        <v>3653</v>
      </c>
      <c r="E56" s="19" t="s">
        <v>2492</v>
      </c>
      <c r="F56" s="19" t="s">
        <v>2493</v>
      </c>
      <c r="G56" s="19" t="s">
        <v>2494</v>
      </c>
    </row>
    <row r="57" spans="1:7" ht="14.25" customHeight="1">
      <c r="A57" s="45">
        <v>50</v>
      </c>
      <c r="B57" s="68" t="s">
        <v>2488</v>
      </c>
      <c r="C57" s="182" t="s">
        <v>2489</v>
      </c>
      <c r="D57" s="182" t="s">
        <v>3653</v>
      </c>
      <c r="E57" s="19" t="s">
        <v>2492</v>
      </c>
      <c r="F57" s="19" t="s">
        <v>2493</v>
      </c>
      <c r="G57" s="19" t="s">
        <v>2494</v>
      </c>
    </row>
    <row r="58" spans="1:7" ht="14.25" customHeight="1">
      <c r="A58" s="45">
        <v>51</v>
      </c>
      <c r="B58" s="182" t="s">
        <v>3752</v>
      </c>
      <c r="C58" s="182" t="s">
        <v>3834</v>
      </c>
      <c r="D58" s="182" t="s">
        <v>3655</v>
      </c>
      <c r="E58" s="19" t="s">
        <v>3763</v>
      </c>
      <c r="F58" s="19" t="s">
        <v>3764</v>
      </c>
      <c r="G58" s="19" t="s">
        <v>3765</v>
      </c>
    </row>
    <row r="59" spans="1:7" ht="14.25" customHeight="1">
      <c r="A59" s="45">
        <v>52</v>
      </c>
      <c r="B59" s="182" t="s">
        <v>3746</v>
      </c>
      <c r="C59" s="182" t="s">
        <v>3828</v>
      </c>
      <c r="D59" s="182" t="s">
        <v>3655</v>
      </c>
      <c r="E59" s="19" t="s">
        <v>3763</v>
      </c>
      <c r="F59" s="19" t="s">
        <v>3764</v>
      </c>
      <c r="G59" s="19" t="s">
        <v>3765</v>
      </c>
    </row>
    <row r="60" spans="1:7" ht="14.25" customHeight="1">
      <c r="A60" s="45">
        <v>53</v>
      </c>
      <c r="B60" s="182" t="s">
        <v>6689</v>
      </c>
      <c r="C60" s="182" t="s">
        <v>6688</v>
      </c>
      <c r="D60" s="182" t="s">
        <v>3655</v>
      </c>
      <c r="E60" s="19" t="s">
        <v>2492</v>
      </c>
      <c r="F60" s="19" t="s">
        <v>3764</v>
      </c>
      <c r="G60" s="19" t="s">
        <v>3267</v>
      </c>
    </row>
    <row r="61" spans="1:7" ht="14.25" customHeight="1">
      <c r="A61" s="45">
        <v>54</v>
      </c>
      <c r="B61" s="36" t="s">
        <v>3848</v>
      </c>
      <c r="C61" s="55" t="s">
        <v>4238</v>
      </c>
      <c r="D61" s="55" t="s">
        <v>3870</v>
      </c>
      <c r="E61" s="19" t="s">
        <v>3763</v>
      </c>
      <c r="F61" s="19" t="s">
        <v>3871</v>
      </c>
      <c r="G61" s="19" t="s">
        <v>3657</v>
      </c>
    </row>
    <row r="62" spans="1:7" ht="14.25" customHeight="1">
      <c r="A62" s="45">
        <v>55</v>
      </c>
      <c r="B62" s="36" t="s">
        <v>3849</v>
      </c>
      <c r="C62" s="55" t="s">
        <v>3850</v>
      </c>
      <c r="D62" s="55" t="s">
        <v>3870</v>
      </c>
      <c r="E62" s="19" t="s">
        <v>3763</v>
      </c>
      <c r="F62" s="19" t="s">
        <v>3871</v>
      </c>
      <c r="G62" s="19" t="s">
        <v>3657</v>
      </c>
    </row>
    <row r="63" spans="1:7" ht="14.25" customHeight="1">
      <c r="A63" s="45">
        <v>56</v>
      </c>
      <c r="B63" s="36" t="s">
        <v>3893</v>
      </c>
      <c r="C63" s="55" t="s">
        <v>4239</v>
      </c>
      <c r="D63" s="55" t="s">
        <v>3870</v>
      </c>
      <c r="E63" s="19" t="s">
        <v>3763</v>
      </c>
      <c r="F63" s="19" t="s">
        <v>3871</v>
      </c>
      <c r="G63" s="19" t="s">
        <v>3657</v>
      </c>
    </row>
    <row r="64" spans="1:7" ht="14.25" customHeight="1">
      <c r="A64" s="45">
        <v>57</v>
      </c>
      <c r="B64" s="36" t="s">
        <v>3892</v>
      </c>
      <c r="C64" s="55" t="s">
        <v>3846</v>
      </c>
      <c r="D64" s="55" t="s">
        <v>3870</v>
      </c>
      <c r="E64" s="19" t="s">
        <v>3763</v>
      </c>
      <c r="F64" s="19" t="s">
        <v>3871</v>
      </c>
      <c r="G64" s="19" t="s">
        <v>3657</v>
      </c>
    </row>
    <row r="65" spans="1:7" ht="14.25" customHeight="1">
      <c r="A65" s="45">
        <v>58</v>
      </c>
      <c r="B65" s="36" t="s">
        <v>3891</v>
      </c>
      <c r="C65" s="55" t="s">
        <v>3847</v>
      </c>
      <c r="D65" s="55" t="s">
        <v>3870</v>
      </c>
      <c r="E65" s="19" t="s">
        <v>3763</v>
      </c>
      <c r="F65" s="19" t="s">
        <v>3871</v>
      </c>
      <c r="G65" s="19" t="s">
        <v>3657</v>
      </c>
    </row>
    <row r="66" spans="1:7" ht="14.25" customHeight="1">
      <c r="A66" s="45">
        <v>59</v>
      </c>
      <c r="B66" s="36" t="s">
        <v>3875</v>
      </c>
      <c r="C66" s="55" t="s">
        <v>4241</v>
      </c>
      <c r="D66" s="55" t="s">
        <v>3870</v>
      </c>
      <c r="E66" s="19" t="s">
        <v>3763</v>
      </c>
      <c r="F66" s="19" t="s">
        <v>3871</v>
      </c>
      <c r="G66" s="19" t="s">
        <v>3657</v>
      </c>
    </row>
    <row r="67" spans="1:7" ht="14.25" customHeight="1">
      <c r="A67" s="45">
        <v>60</v>
      </c>
      <c r="B67" s="36" t="s">
        <v>3885</v>
      </c>
      <c r="C67" s="55" t="s">
        <v>4242</v>
      </c>
      <c r="D67" s="55" t="s">
        <v>3870</v>
      </c>
      <c r="E67" s="19" t="s">
        <v>3763</v>
      </c>
      <c r="F67" s="19" t="s">
        <v>3871</v>
      </c>
      <c r="G67" s="19" t="s">
        <v>3657</v>
      </c>
    </row>
    <row r="68" spans="1:7" ht="14.25" customHeight="1">
      <c r="A68" s="45">
        <v>61</v>
      </c>
      <c r="B68" s="36" t="s">
        <v>3896</v>
      </c>
      <c r="C68" s="55" t="s">
        <v>4240</v>
      </c>
      <c r="D68" s="55" t="s">
        <v>3870</v>
      </c>
      <c r="E68" s="19" t="s">
        <v>3763</v>
      </c>
      <c r="F68" s="19" t="s">
        <v>3871</v>
      </c>
      <c r="G68" s="19" t="s">
        <v>3904</v>
      </c>
    </row>
    <row r="69" spans="1:7" ht="14.25" customHeight="1">
      <c r="A69" s="45">
        <v>62</v>
      </c>
      <c r="B69" s="36" t="s">
        <v>3874</v>
      </c>
      <c r="C69" s="55" t="s">
        <v>3845</v>
      </c>
      <c r="D69" s="55" t="s">
        <v>3870</v>
      </c>
      <c r="E69" s="19" t="s">
        <v>3763</v>
      </c>
      <c r="F69" s="19" t="s">
        <v>3871</v>
      </c>
      <c r="G69" s="19" t="s">
        <v>3657</v>
      </c>
    </row>
    <row r="70" spans="1:7" ht="14.25" customHeight="1">
      <c r="A70" s="45">
        <v>63</v>
      </c>
      <c r="B70" s="36" t="s">
        <v>3876</v>
      </c>
      <c r="C70" s="55" t="s">
        <v>4243</v>
      </c>
      <c r="D70" s="55" t="s">
        <v>3870</v>
      </c>
      <c r="E70" s="19" t="s">
        <v>3763</v>
      </c>
      <c r="F70" s="19" t="s">
        <v>3871</v>
      </c>
      <c r="G70" s="19" t="s">
        <v>3657</v>
      </c>
    </row>
    <row r="71" spans="1:7" ht="14.25" customHeight="1">
      <c r="A71" s="45">
        <v>64</v>
      </c>
      <c r="B71" s="50" t="s">
        <v>3894</v>
      </c>
      <c r="C71" s="183" t="s">
        <v>3856</v>
      </c>
      <c r="D71" s="183" t="s">
        <v>3870</v>
      </c>
      <c r="E71" s="19" t="s">
        <v>3763</v>
      </c>
      <c r="F71" s="19" t="s">
        <v>3871</v>
      </c>
      <c r="G71" s="19" t="s">
        <v>3658</v>
      </c>
    </row>
    <row r="72" spans="1:7" ht="14.25" customHeight="1">
      <c r="A72" s="45">
        <v>65</v>
      </c>
      <c r="B72" s="50" t="s">
        <v>2902</v>
      </c>
      <c r="C72" s="183" t="s">
        <v>3858</v>
      </c>
      <c r="D72" s="183" t="s">
        <v>3870</v>
      </c>
      <c r="E72" s="19" t="s">
        <v>3763</v>
      </c>
      <c r="F72" s="19" t="s">
        <v>3871</v>
      </c>
      <c r="G72" s="19" t="s">
        <v>3658</v>
      </c>
    </row>
    <row r="73" spans="1:7" ht="14.25" customHeight="1">
      <c r="A73" s="45">
        <v>66</v>
      </c>
      <c r="B73" s="50" t="s">
        <v>3879</v>
      </c>
      <c r="C73" s="183" t="s">
        <v>3854</v>
      </c>
      <c r="D73" s="183" t="s">
        <v>3870</v>
      </c>
      <c r="E73" s="19" t="s">
        <v>3763</v>
      </c>
      <c r="F73" s="19" t="s">
        <v>3871</v>
      </c>
      <c r="G73" s="19" t="s">
        <v>3658</v>
      </c>
    </row>
    <row r="74" spans="1:7" ht="14.25" customHeight="1">
      <c r="A74" s="45">
        <v>67</v>
      </c>
      <c r="B74" s="50" t="s">
        <v>2972</v>
      </c>
      <c r="C74" s="183" t="s">
        <v>3859</v>
      </c>
      <c r="D74" s="183" t="s">
        <v>3870</v>
      </c>
      <c r="E74" s="19" t="s">
        <v>3763</v>
      </c>
      <c r="F74" s="19" t="s">
        <v>3871</v>
      </c>
      <c r="G74" s="19" t="s">
        <v>3658</v>
      </c>
    </row>
    <row r="75" spans="1:7" ht="14.25" customHeight="1">
      <c r="A75" s="45">
        <v>68</v>
      </c>
      <c r="B75" s="50" t="s">
        <v>3877</v>
      </c>
      <c r="C75" s="183" t="s">
        <v>3851</v>
      </c>
      <c r="D75" s="183" t="s">
        <v>3870</v>
      </c>
      <c r="E75" s="19" t="s">
        <v>3763</v>
      </c>
      <c r="F75" s="19" t="s">
        <v>3871</v>
      </c>
      <c r="G75" s="19" t="s">
        <v>3658</v>
      </c>
    </row>
    <row r="76" spans="1:7" ht="14.25" customHeight="1">
      <c r="A76" s="45">
        <v>69</v>
      </c>
      <c r="B76" s="50" t="s">
        <v>3897</v>
      </c>
      <c r="C76" s="183" t="s">
        <v>4230</v>
      </c>
      <c r="D76" s="183" t="s">
        <v>3870</v>
      </c>
      <c r="E76" s="19" t="s">
        <v>3763</v>
      </c>
      <c r="F76" s="19" t="s">
        <v>3871</v>
      </c>
      <c r="G76" s="19" t="s">
        <v>3658</v>
      </c>
    </row>
    <row r="77" spans="1:7" ht="14.25" customHeight="1">
      <c r="A77" s="45">
        <v>70</v>
      </c>
      <c r="B77" s="50" t="s">
        <v>3878</v>
      </c>
      <c r="C77" s="183" t="s">
        <v>3852</v>
      </c>
      <c r="D77" s="183" t="s">
        <v>3870</v>
      </c>
      <c r="E77" s="19" t="s">
        <v>3763</v>
      </c>
      <c r="F77" s="19" t="s">
        <v>3871</v>
      </c>
      <c r="G77" s="19" t="s">
        <v>3658</v>
      </c>
    </row>
    <row r="78" spans="1:7" ht="14.25" customHeight="1">
      <c r="A78" s="45">
        <v>71</v>
      </c>
      <c r="B78" s="50" t="s">
        <v>3888</v>
      </c>
      <c r="C78" s="183" t="s">
        <v>3857</v>
      </c>
      <c r="D78" s="183" t="s">
        <v>3870</v>
      </c>
      <c r="E78" s="19" t="s">
        <v>3763</v>
      </c>
      <c r="F78" s="19" t="s">
        <v>3871</v>
      </c>
      <c r="G78" s="19" t="s">
        <v>3658</v>
      </c>
    </row>
    <row r="79" spans="1:7" ht="14.25" customHeight="1">
      <c r="A79" s="45">
        <v>72</v>
      </c>
      <c r="B79" s="50" t="s">
        <v>3886</v>
      </c>
      <c r="C79" s="183" t="s">
        <v>3853</v>
      </c>
      <c r="D79" s="183" t="s">
        <v>3870</v>
      </c>
      <c r="E79" s="19" t="s">
        <v>3763</v>
      </c>
      <c r="F79" s="19" t="s">
        <v>3871</v>
      </c>
      <c r="G79" s="19" t="s">
        <v>3658</v>
      </c>
    </row>
    <row r="80" spans="1:7" ht="14.25" customHeight="1">
      <c r="A80" s="45">
        <v>73</v>
      </c>
      <c r="B80" s="50" t="s">
        <v>3887</v>
      </c>
      <c r="C80" s="183" t="s">
        <v>3855</v>
      </c>
      <c r="D80" s="183" t="s">
        <v>3870</v>
      </c>
      <c r="E80" s="19" t="s">
        <v>3763</v>
      </c>
      <c r="F80" s="19" t="s">
        <v>3871</v>
      </c>
      <c r="G80" s="19" t="s">
        <v>3658</v>
      </c>
    </row>
    <row r="81" spans="1:7" ht="14.25" customHeight="1">
      <c r="A81" s="45">
        <v>74</v>
      </c>
      <c r="B81" s="254" t="s">
        <v>3895</v>
      </c>
      <c r="C81" s="255" t="s">
        <v>3863</v>
      </c>
      <c r="D81" s="255" t="s">
        <v>3870</v>
      </c>
      <c r="E81" s="19" t="s">
        <v>3763</v>
      </c>
      <c r="F81" s="19" t="s">
        <v>3871</v>
      </c>
      <c r="G81" s="19" t="s">
        <v>3659</v>
      </c>
    </row>
    <row r="82" spans="1:7" ht="14.25" customHeight="1">
      <c r="A82" s="45">
        <v>75</v>
      </c>
      <c r="B82" s="254" t="s">
        <v>3883</v>
      </c>
      <c r="C82" s="255" t="s">
        <v>4232</v>
      </c>
      <c r="D82" s="255" t="s">
        <v>3870</v>
      </c>
      <c r="E82" s="19" t="s">
        <v>3763</v>
      </c>
      <c r="F82" s="19" t="s">
        <v>3871</v>
      </c>
      <c r="G82" s="19" t="s">
        <v>3659</v>
      </c>
    </row>
    <row r="83" spans="1:7" ht="14.25" customHeight="1">
      <c r="A83" s="45">
        <v>76</v>
      </c>
      <c r="B83" s="254" t="s">
        <v>3889</v>
      </c>
      <c r="C83" s="255" t="s">
        <v>3862</v>
      </c>
      <c r="D83" s="255" t="s">
        <v>3870</v>
      </c>
      <c r="E83" s="19" t="s">
        <v>3763</v>
      </c>
      <c r="F83" s="19" t="s">
        <v>3871</v>
      </c>
      <c r="G83" s="19" t="s">
        <v>3659</v>
      </c>
    </row>
    <row r="84" spans="1:7" ht="14.25" customHeight="1">
      <c r="A84" s="45">
        <v>77</v>
      </c>
      <c r="B84" s="254" t="s">
        <v>3881</v>
      </c>
      <c r="C84" s="255" t="s">
        <v>3861</v>
      </c>
      <c r="D84" s="255" t="s">
        <v>3870</v>
      </c>
      <c r="E84" s="19" t="s">
        <v>3763</v>
      </c>
      <c r="F84" s="19" t="s">
        <v>3871</v>
      </c>
      <c r="G84" s="19" t="s">
        <v>3659</v>
      </c>
    </row>
    <row r="85" spans="1:7" ht="14.25" customHeight="1">
      <c r="A85" s="45">
        <v>78</v>
      </c>
      <c r="B85" s="254" t="s">
        <v>3880</v>
      </c>
      <c r="C85" s="255" t="s">
        <v>3860</v>
      </c>
      <c r="D85" s="255" t="s">
        <v>3870</v>
      </c>
      <c r="E85" s="19" t="s">
        <v>3763</v>
      </c>
      <c r="F85" s="19" t="s">
        <v>3871</v>
      </c>
      <c r="G85" s="19" t="s">
        <v>3659</v>
      </c>
    </row>
    <row r="86" spans="1:7" ht="14.25" customHeight="1">
      <c r="A86" s="45">
        <v>79</v>
      </c>
      <c r="B86" s="254" t="s">
        <v>3898</v>
      </c>
      <c r="C86" s="255" t="s">
        <v>4231</v>
      </c>
      <c r="D86" s="255" t="s">
        <v>3870</v>
      </c>
      <c r="E86" s="19" t="s">
        <v>3763</v>
      </c>
      <c r="F86" s="19" t="s">
        <v>3871</v>
      </c>
      <c r="G86" s="19" t="s">
        <v>3659</v>
      </c>
    </row>
    <row r="87" spans="1:7" ht="14.25" customHeight="1">
      <c r="A87" s="45">
        <v>80</v>
      </c>
      <c r="B87" s="254" t="s">
        <v>3882</v>
      </c>
      <c r="C87" s="255" t="s">
        <v>3864</v>
      </c>
      <c r="D87" s="255" t="s">
        <v>3870</v>
      </c>
      <c r="E87" s="19" t="s">
        <v>3763</v>
      </c>
      <c r="F87" s="19" t="s">
        <v>3871</v>
      </c>
      <c r="G87" s="19" t="s">
        <v>3659</v>
      </c>
    </row>
    <row r="88" spans="1:7" ht="14.25" customHeight="1">
      <c r="A88" s="45">
        <v>81</v>
      </c>
      <c r="B88" s="51" t="s">
        <v>3890</v>
      </c>
      <c r="C88" s="265" t="s">
        <v>3868</v>
      </c>
      <c r="D88" s="265" t="s">
        <v>3870</v>
      </c>
      <c r="E88" s="19" t="s">
        <v>3763</v>
      </c>
      <c r="F88" s="19" t="s">
        <v>3871</v>
      </c>
      <c r="G88" s="19" t="s">
        <v>3660</v>
      </c>
    </row>
    <row r="89" spans="1:7" ht="14.25" customHeight="1">
      <c r="A89" s="45">
        <v>82</v>
      </c>
      <c r="B89" s="51" t="s">
        <v>2991</v>
      </c>
      <c r="C89" s="265" t="s">
        <v>3869</v>
      </c>
      <c r="D89" s="265" t="s">
        <v>3870</v>
      </c>
      <c r="E89" s="19" t="s">
        <v>3763</v>
      </c>
      <c r="F89" s="19" t="s">
        <v>3871</v>
      </c>
      <c r="G89" s="19" t="s">
        <v>3660</v>
      </c>
    </row>
    <row r="90" spans="1:7" ht="14.25" customHeight="1">
      <c r="A90" s="45">
        <v>83</v>
      </c>
      <c r="B90" s="51" t="s">
        <v>3866</v>
      </c>
      <c r="C90" s="265" t="s">
        <v>3867</v>
      </c>
      <c r="D90" s="265" t="s">
        <v>3870</v>
      </c>
      <c r="E90" s="19" t="s">
        <v>3763</v>
      </c>
      <c r="F90" s="19" t="s">
        <v>3871</v>
      </c>
      <c r="G90" s="19" t="s">
        <v>3872</v>
      </c>
    </row>
    <row r="91" spans="1:7" ht="14.25" customHeight="1">
      <c r="A91" s="45">
        <v>84</v>
      </c>
      <c r="B91" s="51" t="s">
        <v>3884</v>
      </c>
      <c r="C91" s="265" t="s">
        <v>3865</v>
      </c>
      <c r="D91" s="265" t="s">
        <v>3870</v>
      </c>
      <c r="E91" s="19" t="s">
        <v>3763</v>
      </c>
      <c r="F91" s="19" t="s">
        <v>3871</v>
      </c>
      <c r="G91" s="19" t="s">
        <v>3872</v>
      </c>
    </row>
    <row r="92" spans="1:7" ht="14.25" customHeight="1">
      <c r="A92" s="45">
        <v>85</v>
      </c>
      <c r="B92" s="44" t="s">
        <v>3901</v>
      </c>
      <c r="C92" s="56" t="s">
        <v>3916</v>
      </c>
      <c r="D92" s="56" t="s">
        <v>3870</v>
      </c>
      <c r="E92" s="19" t="s">
        <v>3763</v>
      </c>
      <c r="F92" s="19" t="s">
        <v>3871</v>
      </c>
      <c r="G92" s="19" t="s">
        <v>3661</v>
      </c>
    </row>
    <row r="93" spans="1:7" ht="14.25" customHeight="1">
      <c r="A93" s="45">
        <v>86</v>
      </c>
      <c r="B93" s="44" t="s">
        <v>3903</v>
      </c>
      <c r="C93" s="56" t="s">
        <v>3914</v>
      </c>
      <c r="D93" s="56" t="s">
        <v>3870</v>
      </c>
      <c r="E93" s="19" t="s">
        <v>3763</v>
      </c>
      <c r="F93" s="19" t="s">
        <v>3871</v>
      </c>
      <c r="G93" s="19" t="s">
        <v>3873</v>
      </c>
    </row>
    <row r="94" spans="1:7" ht="14.25" customHeight="1">
      <c r="A94" s="45">
        <v>87</v>
      </c>
      <c r="B94" s="44" t="s">
        <v>3902</v>
      </c>
      <c r="C94" s="56" t="s">
        <v>3917</v>
      </c>
      <c r="D94" s="56" t="s">
        <v>3870</v>
      </c>
      <c r="E94" s="19" t="s">
        <v>3763</v>
      </c>
      <c r="F94" s="19" t="s">
        <v>3871</v>
      </c>
      <c r="G94" s="19" t="s">
        <v>3661</v>
      </c>
    </row>
    <row r="95" spans="1:7" ht="14.25" customHeight="1">
      <c r="A95" s="45">
        <v>88</v>
      </c>
      <c r="B95" s="44" t="s">
        <v>3899</v>
      </c>
      <c r="C95" s="56" t="s">
        <v>3913</v>
      </c>
      <c r="D95" s="56" t="s">
        <v>3870</v>
      </c>
      <c r="E95" s="19" t="s">
        <v>3763</v>
      </c>
      <c r="F95" s="19" t="s">
        <v>3871</v>
      </c>
      <c r="G95" s="19" t="s">
        <v>3873</v>
      </c>
    </row>
    <row r="96" spans="1:7" ht="14.25" customHeight="1">
      <c r="A96" s="45">
        <v>89</v>
      </c>
      <c r="B96" s="44" t="s">
        <v>3900</v>
      </c>
      <c r="C96" s="56" t="s">
        <v>3912</v>
      </c>
      <c r="D96" s="56" t="s">
        <v>3870</v>
      </c>
      <c r="E96" s="19" t="s">
        <v>3763</v>
      </c>
      <c r="F96" s="19" t="s">
        <v>3871</v>
      </c>
      <c r="G96" s="19" t="s">
        <v>3661</v>
      </c>
    </row>
    <row r="97" spans="1:7" ht="14.25" customHeight="1">
      <c r="A97" s="45">
        <v>90</v>
      </c>
      <c r="B97" s="56" t="s">
        <v>3909</v>
      </c>
      <c r="C97" s="56" t="s">
        <v>3911</v>
      </c>
      <c r="D97" s="56" t="s">
        <v>3870</v>
      </c>
      <c r="E97" s="19" t="s">
        <v>3763</v>
      </c>
      <c r="F97" s="19" t="s">
        <v>3871</v>
      </c>
      <c r="G97" s="19" t="s">
        <v>3661</v>
      </c>
    </row>
    <row r="98" spans="1:7" ht="14.25" customHeight="1">
      <c r="A98" s="45">
        <v>91</v>
      </c>
      <c r="B98" s="56" t="s">
        <v>3908</v>
      </c>
      <c r="C98" s="56" t="s">
        <v>3910</v>
      </c>
      <c r="D98" s="56" t="s">
        <v>3870</v>
      </c>
      <c r="E98" s="19" t="s">
        <v>3763</v>
      </c>
      <c r="F98" s="19" t="s">
        <v>3871</v>
      </c>
      <c r="G98" s="19" t="s">
        <v>3661</v>
      </c>
    </row>
    <row r="99" spans="1:7" ht="14.25" customHeight="1">
      <c r="A99" s="45">
        <v>92</v>
      </c>
      <c r="B99" s="44" t="s">
        <v>505</v>
      </c>
      <c r="C99" s="56" t="s">
        <v>3915</v>
      </c>
      <c r="D99" s="56" t="s">
        <v>3870</v>
      </c>
      <c r="E99" s="19" t="s">
        <v>3763</v>
      </c>
      <c r="F99" s="19" t="s">
        <v>3871</v>
      </c>
      <c r="G99" s="19" t="s">
        <v>3873</v>
      </c>
    </row>
    <row r="100" spans="1:7" ht="14.25" customHeight="1">
      <c r="A100" s="45">
        <v>93</v>
      </c>
      <c r="B100" s="182" t="s">
        <v>3288</v>
      </c>
      <c r="C100" s="182" t="s">
        <v>3290</v>
      </c>
      <c r="D100" s="182" t="s">
        <v>3653</v>
      </c>
      <c r="E100" s="19" t="s">
        <v>3265</v>
      </c>
      <c r="F100" s="19" t="s">
        <v>3266</v>
      </c>
      <c r="G100" s="19" t="s">
        <v>3267</v>
      </c>
    </row>
    <row r="101" spans="1:7" ht="14.25" customHeight="1">
      <c r="A101" s="45">
        <v>94</v>
      </c>
      <c r="B101" s="182" t="s">
        <v>3261</v>
      </c>
      <c r="C101" s="182" t="s">
        <v>3249</v>
      </c>
      <c r="D101" s="182" t="s">
        <v>3653</v>
      </c>
      <c r="E101" s="19" t="s">
        <v>3265</v>
      </c>
      <c r="F101" s="19" t="s">
        <v>3266</v>
      </c>
      <c r="G101" s="19" t="s">
        <v>3267</v>
      </c>
    </row>
    <row r="102" spans="1:7" ht="14.25" customHeight="1">
      <c r="A102" s="45">
        <v>95</v>
      </c>
      <c r="B102" s="182" t="s">
        <v>3244</v>
      </c>
      <c r="C102" s="68" t="s">
        <v>3246</v>
      </c>
      <c r="D102" s="182" t="s">
        <v>3654</v>
      </c>
      <c r="E102" s="19" t="s">
        <v>3265</v>
      </c>
      <c r="F102" s="19" t="s">
        <v>3266</v>
      </c>
      <c r="G102" s="19" t="s">
        <v>3267</v>
      </c>
    </row>
    <row r="103" spans="1:7" ht="14.25" customHeight="1">
      <c r="A103" s="45">
        <v>96</v>
      </c>
      <c r="B103" s="182" t="s">
        <v>3263</v>
      </c>
      <c r="C103" s="182" t="s">
        <v>3259</v>
      </c>
      <c r="D103" s="182" t="s">
        <v>3653</v>
      </c>
      <c r="E103" s="19" t="s">
        <v>3265</v>
      </c>
      <c r="F103" s="19" t="s">
        <v>3266</v>
      </c>
      <c r="G103" s="19" t="s">
        <v>3267</v>
      </c>
    </row>
    <row r="104" spans="1:7" ht="14.25" customHeight="1">
      <c r="A104" s="45">
        <v>97</v>
      </c>
      <c r="B104" s="182" t="s">
        <v>3286</v>
      </c>
      <c r="C104" s="182" t="s">
        <v>3289</v>
      </c>
      <c r="D104" s="182" t="s">
        <v>3654</v>
      </c>
      <c r="E104" s="19" t="s">
        <v>3265</v>
      </c>
      <c r="F104" s="19" t="s">
        <v>3266</v>
      </c>
      <c r="G104" s="19" t="s">
        <v>3267</v>
      </c>
    </row>
    <row r="105" spans="1:7" ht="14.25" customHeight="1">
      <c r="A105" s="45">
        <v>98</v>
      </c>
      <c r="B105" s="182" t="s">
        <v>3260</v>
      </c>
      <c r="C105" s="68" t="s">
        <v>3248</v>
      </c>
      <c r="D105" s="182" t="s">
        <v>3654</v>
      </c>
      <c r="E105" s="19" t="s">
        <v>3265</v>
      </c>
      <c r="F105" s="19" t="s">
        <v>3266</v>
      </c>
      <c r="G105" s="19" t="s">
        <v>3267</v>
      </c>
    </row>
    <row r="106" spans="1:7" ht="14.25" customHeight="1">
      <c r="A106" s="45">
        <v>99</v>
      </c>
      <c r="B106" s="182" t="s">
        <v>3287</v>
      </c>
      <c r="C106" s="182" t="s">
        <v>3287</v>
      </c>
      <c r="D106" s="182" t="s">
        <v>3653</v>
      </c>
      <c r="E106" s="19" t="s">
        <v>3265</v>
      </c>
      <c r="F106" s="19" t="s">
        <v>3266</v>
      </c>
      <c r="G106" s="19" t="s">
        <v>3267</v>
      </c>
    </row>
    <row r="107" spans="1:7" ht="14.25" customHeight="1">
      <c r="A107" s="45">
        <v>100</v>
      </c>
      <c r="B107" s="182" t="s">
        <v>3295</v>
      </c>
      <c r="C107" s="182" t="s">
        <v>3250</v>
      </c>
      <c r="D107" s="182" t="s">
        <v>3653</v>
      </c>
      <c r="E107" s="19" t="s">
        <v>3265</v>
      </c>
      <c r="F107" s="19" t="s">
        <v>3266</v>
      </c>
      <c r="G107" s="19" t="s">
        <v>3267</v>
      </c>
    </row>
    <row r="108" spans="1:7" ht="14.25" customHeight="1">
      <c r="A108" s="45">
        <v>101</v>
      </c>
      <c r="B108" s="182" t="s">
        <v>3269</v>
      </c>
      <c r="C108" s="182" t="s">
        <v>3247</v>
      </c>
      <c r="D108" s="182" t="s">
        <v>3653</v>
      </c>
      <c r="E108" s="19" t="s">
        <v>3265</v>
      </c>
      <c r="F108" s="19" t="s">
        <v>3266</v>
      </c>
      <c r="G108" s="19" t="s">
        <v>3267</v>
      </c>
    </row>
    <row r="109" spans="1:7" ht="14.25" customHeight="1">
      <c r="A109" s="45">
        <v>102</v>
      </c>
      <c r="B109" s="182" t="s">
        <v>3268</v>
      </c>
      <c r="C109" s="68" t="s">
        <v>2120</v>
      </c>
      <c r="D109" s="182" t="s">
        <v>3653</v>
      </c>
      <c r="E109" s="19" t="s">
        <v>3265</v>
      </c>
      <c r="F109" s="19" t="s">
        <v>3266</v>
      </c>
      <c r="G109" s="19" t="s">
        <v>3267</v>
      </c>
    </row>
    <row r="110" spans="1:7" ht="14.25" customHeight="1">
      <c r="A110" s="45">
        <v>103</v>
      </c>
      <c r="B110" s="182" t="s">
        <v>3262</v>
      </c>
      <c r="C110" s="182" t="s">
        <v>3245</v>
      </c>
      <c r="D110" s="182" t="s">
        <v>3653</v>
      </c>
      <c r="E110" s="19" t="s">
        <v>3265</v>
      </c>
      <c r="F110" s="19" t="s">
        <v>3266</v>
      </c>
      <c r="G110" s="19" t="s">
        <v>3267</v>
      </c>
    </row>
    <row r="111" spans="1:7" ht="14.25" customHeight="1">
      <c r="A111" s="45">
        <v>104</v>
      </c>
      <c r="B111" s="182" t="s">
        <v>3294</v>
      </c>
      <c r="C111" s="182" t="s">
        <v>3251</v>
      </c>
      <c r="D111" s="182" t="s">
        <v>3654</v>
      </c>
      <c r="E111" s="19" t="s">
        <v>3265</v>
      </c>
      <c r="F111" s="19" t="s">
        <v>3266</v>
      </c>
      <c r="G111" s="19" t="s">
        <v>3267</v>
      </c>
    </row>
    <row r="112" spans="1:7" ht="14.25" customHeight="1">
      <c r="A112" s="45">
        <v>105</v>
      </c>
      <c r="B112" s="182" t="s">
        <v>2672</v>
      </c>
      <c r="C112" s="182" t="s">
        <v>2671</v>
      </c>
      <c r="D112" s="182" t="s">
        <v>2673</v>
      </c>
      <c r="E112" s="19" t="s">
        <v>2492</v>
      </c>
      <c r="F112" s="19" t="s">
        <v>2674</v>
      </c>
      <c r="G112" s="19" t="s">
        <v>1489</v>
      </c>
    </row>
    <row r="113" spans="1:7" ht="14.25" customHeight="1">
      <c r="A113" s="45">
        <v>106</v>
      </c>
      <c r="B113" s="53" t="s">
        <v>1479</v>
      </c>
      <c r="C113" s="36" t="s">
        <v>1515</v>
      </c>
      <c r="D113" s="33" t="s">
        <v>1270</v>
      </c>
      <c r="E113" s="45" t="s">
        <v>1511</v>
      </c>
      <c r="F113" s="45" t="s">
        <v>1457</v>
      </c>
      <c r="G113" s="45" t="s">
        <v>736</v>
      </c>
    </row>
    <row r="114" spans="1:7" ht="14.25" customHeight="1">
      <c r="A114" s="45">
        <v>107</v>
      </c>
      <c r="B114" s="33" t="s">
        <v>1267</v>
      </c>
      <c r="C114" s="36" t="s">
        <v>1517</v>
      </c>
      <c r="D114" s="33" t="s">
        <v>1268</v>
      </c>
      <c r="E114" s="45" t="s">
        <v>1511</v>
      </c>
      <c r="F114" s="45" t="s">
        <v>1457</v>
      </c>
      <c r="G114" s="45" t="s">
        <v>736</v>
      </c>
    </row>
    <row r="115" spans="1:7" ht="14.25" customHeight="1">
      <c r="A115" s="45">
        <v>108</v>
      </c>
      <c r="B115" s="33" t="s">
        <v>1259</v>
      </c>
      <c r="C115" s="36" t="s">
        <v>1522</v>
      </c>
      <c r="D115" s="33" t="s">
        <v>1260</v>
      </c>
      <c r="E115" s="45" t="s">
        <v>1511</v>
      </c>
      <c r="F115" s="45" t="s">
        <v>1457</v>
      </c>
      <c r="G115" s="45" t="s">
        <v>736</v>
      </c>
    </row>
    <row r="116" spans="1:7" ht="14.25" customHeight="1">
      <c r="A116" s="45">
        <v>109</v>
      </c>
      <c r="B116" s="33" t="s">
        <v>1261</v>
      </c>
      <c r="C116" s="33" t="s">
        <v>1261</v>
      </c>
      <c r="D116" s="33" t="s">
        <v>1262</v>
      </c>
      <c r="E116" s="45" t="s">
        <v>1511</v>
      </c>
      <c r="F116" s="45" t="s">
        <v>1457</v>
      </c>
      <c r="G116" s="45" t="s">
        <v>736</v>
      </c>
    </row>
    <row r="117" spans="1:7" ht="14.25" customHeight="1">
      <c r="A117" s="45">
        <v>110</v>
      </c>
      <c r="B117" s="53" t="s">
        <v>1657</v>
      </c>
      <c r="C117" s="36" t="s">
        <v>1524</v>
      </c>
      <c r="D117" s="33" t="s">
        <v>1266</v>
      </c>
      <c r="E117" s="45" t="s">
        <v>1511</v>
      </c>
      <c r="F117" s="45" t="s">
        <v>1457</v>
      </c>
      <c r="G117" s="45" t="s">
        <v>736</v>
      </c>
    </row>
    <row r="118" spans="1:7" ht="14.25" customHeight="1">
      <c r="A118" s="45">
        <v>111</v>
      </c>
      <c r="B118" s="33" t="s">
        <v>1458</v>
      </c>
      <c r="C118" s="175" t="s">
        <v>1525</v>
      </c>
      <c r="D118" s="33" t="s">
        <v>1459</v>
      </c>
      <c r="E118" s="45" t="s">
        <v>1511</v>
      </c>
      <c r="F118" s="45" t="s">
        <v>1457</v>
      </c>
      <c r="G118" s="45" t="s">
        <v>736</v>
      </c>
    </row>
    <row r="119" spans="1:7" ht="14.25" customHeight="1">
      <c r="A119" s="45">
        <v>112</v>
      </c>
      <c r="B119" s="64" t="s">
        <v>2231</v>
      </c>
      <c r="C119" s="36" t="s">
        <v>2213</v>
      </c>
      <c r="D119" s="55" t="s">
        <v>5139</v>
      </c>
      <c r="E119" s="45" t="s">
        <v>1511</v>
      </c>
      <c r="F119" s="45" t="s">
        <v>1457</v>
      </c>
      <c r="G119" s="60" t="s">
        <v>736</v>
      </c>
    </row>
    <row r="120" spans="1:7" ht="14.25" customHeight="1">
      <c r="A120" s="45">
        <v>113</v>
      </c>
      <c r="B120" s="36" t="s">
        <v>1348</v>
      </c>
      <c r="C120" s="36" t="s">
        <v>1526</v>
      </c>
      <c r="D120" s="36" t="s">
        <v>1412</v>
      </c>
      <c r="E120" s="45" t="s">
        <v>1511</v>
      </c>
      <c r="F120" s="45" t="s">
        <v>1457</v>
      </c>
      <c r="G120" s="45" t="s">
        <v>1482</v>
      </c>
    </row>
    <row r="121" spans="1:7" ht="14.25" customHeight="1">
      <c r="A121" s="45">
        <v>114</v>
      </c>
      <c r="B121" s="33" t="s">
        <v>1272</v>
      </c>
      <c r="C121" s="36" t="s">
        <v>1529</v>
      </c>
      <c r="D121" s="33" t="s">
        <v>1273</v>
      </c>
      <c r="E121" s="45" t="s">
        <v>1511</v>
      </c>
      <c r="F121" s="45" t="s">
        <v>1457</v>
      </c>
      <c r="G121" s="45" t="s">
        <v>736</v>
      </c>
    </row>
    <row r="122" spans="1:7" ht="14.25" customHeight="1">
      <c r="A122" s="45">
        <v>115</v>
      </c>
      <c r="B122" s="330" t="s">
        <v>6650</v>
      </c>
      <c r="C122" s="330" t="s">
        <v>6651</v>
      </c>
      <c r="D122" s="671" t="s">
        <v>1510</v>
      </c>
      <c r="E122" s="19" t="s">
        <v>4005</v>
      </c>
      <c r="F122" s="19" t="s">
        <v>3275</v>
      </c>
      <c r="G122" s="19" t="s">
        <v>2000</v>
      </c>
    </row>
    <row r="123" spans="1:7" ht="14.25" customHeight="1">
      <c r="A123" s="45">
        <v>116</v>
      </c>
      <c r="B123" s="33" t="s">
        <v>1506</v>
      </c>
      <c r="C123" s="36" t="s">
        <v>1530</v>
      </c>
      <c r="D123" s="33" t="s">
        <v>1253</v>
      </c>
      <c r="E123" s="45" t="s">
        <v>1511</v>
      </c>
      <c r="F123" s="45" t="s">
        <v>1457</v>
      </c>
      <c r="G123" s="45" t="s">
        <v>1482</v>
      </c>
    </row>
    <row r="124" spans="1:7" ht="14.25" customHeight="1">
      <c r="A124" s="45">
        <v>117</v>
      </c>
      <c r="B124" s="64" t="s">
        <v>2230</v>
      </c>
      <c r="C124" s="55" t="s">
        <v>2212</v>
      </c>
      <c r="D124" s="36" t="s">
        <v>1412</v>
      </c>
      <c r="E124" s="45" t="s">
        <v>1511</v>
      </c>
      <c r="F124" s="45" t="s">
        <v>1457</v>
      </c>
      <c r="G124" s="60" t="s">
        <v>736</v>
      </c>
    </row>
    <row r="125" spans="1:7" ht="14.25" customHeight="1">
      <c r="A125" s="45">
        <v>118</v>
      </c>
      <c r="B125" s="55" t="s">
        <v>6698</v>
      </c>
      <c r="C125" s="55" t="s">
        <v>6699</v>
      </c>
      <c r="D125" s="36" t="s">
        <v>1412</v>
      </c>
      <c r="E125" s="45" t="s">
        <v>1511</v>
      </c>
      <c r="F125" s="45" t="s">
        <v>1457</v>
      </c>
      <c r="G125" s="60" t="s">
        <v>736</v>
      </c>
    </row>
    <row r="126" spans="1:7" ht="14.25" customHeight="1">
      <c r="A126" s="45">
        <v>119</v>
      </c>
      <c r="B126" s="64" t="s">
        <v>2229</v>
      </c>
      <c r="C126" s="36" t="s">
        <v>2211</v>
      </c>
      <c r="D126" s="36" t="s">
        <v>1412</v>
      </c>
      <c r="E126" s="45" t="s">
        <v>1511</v>
      </c>
      <c r="F126" s="45" t="s">
        <v>1457</v>
      </c>
      <c r="G126" s="60" t="s">
        <v>736</v>
      </c>
    </row>
    <row r="127" spans="1:7" ht="14.25" customHeight="1">
      <c r="A127" s="45">
        <v>120</v>
      </c>
      <c r="B127" s="64" t="s">
        <v>2241</v>
      </c>
      <c r="C127" s="64" t="s">
        <v>2242</v>
      </c>
      <c r="D127" s="36" t="s">
        <v>1412</v>
      </c>
      <c r="E127" s="45" t="s">
        <v>1511</v>
      </c>
      <c r="F127" s="45" t="s">
        <v>1457</v>
      </c>
      <c r="G127" s="60" t="s">
        <v>736</v>
      </c>
    </row>
    <row r="128" spans="1:7" ht="14.25" customHeight="1">
      <c r="A128" s="45">
        <v>121</v>
      </c>
      <c r="B128" s="54" t="s">
        <v>4116</v>
      </c>
      <c r="C128" s="50" t="s">
        <v>1535</v>
      </c>
      <c r="D128" s="32" t="s">
        <v>1294</v>
      </c>
      <c r="E128" s="45" t="s">
        <v>1511</v>
      </c>
      <c r="F128" s="45" t="s">
        <v>1457</v>
      </c>
      <c r="G128" s="45" t="s">
        <v>1370</v>
      </c>
    </row>
    <row r="129" spans="1:7" ht="14.25" customHeight="1">
      <c r="A129" s="45">
        <v>122</v>
      </c>
      <c r="B129" s="54" t="s">
        <v>6649</v>
      </c>
      <c r="C129" s="50" t="s">
        <v>1536</v>
      </c>
      <c r="D129" s="32" t="s">
        <v>1295</v>
      </c>
      <c r="E129" s="45" t="s">
        <v>1511</v>
      </c>
      <c r="F129" s="45" t="s">
        <v>1457</v>
      </c>
      <c r="G129" s="45" t="s">
        <v>1370</v>
      </c>
    </row>
    <row r="130" spans="1:7" ht="14.25" customHeight="1">
      <c r="A130" s="45">
        <v>123</v>
      </c>
      <c r="B130" s="54" t="s">
        <v>1654</v>
      </c>
      <c r="C130" s="50" t="s">
        <v>1537</v>
      </c>
      <c r="D130" s="32" t="s">
        <v>1283</v>
      </c>
      <c r="E130" s="45" t="s">
        <v>1511</v>
      </c>
      <c r="F130" s="45" t="s">
        <v>1457</v>
      </c>
      <c r="G130" s="45" t="s">
        <v>1370</v>
      </c>
    </row>
    <row r="131" spans="1:7" ht="14.25" customHeight="1">
      <c r="A131" s="45">
        <v>124</v>
      </c>
      <c r="B131" s="202" t="s">
        <v>2744</v>
      </c>
      <c r="C131" s="176" t="s">
        <v>2368</v>
      </c>
      <c r="D131" s="32" t="s">
        <v>1278</v>
      </c>
      <c r="E131" s="45" t="s">
        <v>1511</v>
      </c>
      <c r="F131" s="45" t="s">
        <v>1457</v>
      </c>
      <c r="G131" s="45" t="s">
        <v>1484</v>
      </c>
    </row>
    <row r="132" spans="1:7" ht="14.25" customHeight="1">
      <c r="A132" s="45">
        <v>125</v>
      </c>
      <c r="B132" s="54" t="s">
        <v>1652</v>
      </c>
      <c r="C132" s="67" t="s">
        <v>1546</v>
      </c>
      <c r="D132" s="32" t="s">
        <v>1279</v>
      </c>
      <c r="E132" s="45" t="s">
        <v>1511</v>
      </c>
      <c r="F132" s="45" t="s">
        <v>1457</v>
      </c>
      <c r="G132" s="45" t="s">
        <v>1370</v>
      </c>
    </row>
    <row r="133" spans="1:7" ht="14.25" customHeight="1">
      <c r="A133" s="45">
        <v>126</v>
      </c>
      <c r="B133" s="54" t="s">
        <v>1653</v>
      </c>
      <c r="C133" s="50" t="s">
        <v>1548</v>
      </c>
      <c r="D133" s="32" t="s">
        <v>1281</v>
      </c>
      <c r="E133" s="45" t="s">
        <v>1511</v>
      </c>
      <c r="F133" s="45" t="s">
        <v>1457</v>
      </c>
      <c r="G133" s="45" t="s">
        <v>1370</v>
      </c>
    </row>
    <row r="134" spans="1:7" ht="14.25" customHeight="1">
      <c r="A134" s="45">
        <v>127</v>
      </c>
      <c r="B134" s="669" t="s">
        <v>5142</v>
      </c>
      <c r="C134" s="669" t="s">
        <v>6648</v>
      </c>
      <c r="D134" s="670" t="s">
        <v>1510</v>
      </c>
      <c r="E134" s="19" t="s">
        <v>4005</v>
      </c>
      <c r="F134" s="19" t="s">
        <v>3275</v>
      </c>
      <c r="G134" s="19" t="s">
        <v>6678</v>
      </c>
    </row>
    <row r="135" spans="1:7" ht="14.25" customHeight="1">
      <c r="A135" s="45">
        <v>128</v>
      </c>
      <c r="B135" s="67" t="s">
        <v>2262</v>
      </c>
      <c r="C135" s="67" t="s">
        <v>2248</v>
      </c>
      <c r="D135" s="50" t="s">
        <v>1412</v>
      </c>
      <c r="E135" s="45" t="s">
        <v>1511</v>
      </c>
      <c r="F135" s="45" t="s">
        <v>1457</v>
      </c>
      <c r="G135" s="60" t="s">
        <v>2266</v>
      </c>
    </row>
    <row r="136" spans="1:7" ht="14.25" customHeight="1">
      <c r="A136" s="45">
        <v>129</v>
      </c>
      <c r="B136" s="67" t="s">
        <v>2263</v>
      </c>
      <c r="C136" s="50" t="s">
        <v>2147</v>
      </c>
      <c r="D136" s="50" t="s">
        <v>1412</v>
      </c>
      <c r="E136" s="45" t="s">
        <v>1511</v>
      </c>
      <c r="F136" s="45" t="s">
        <v>1457</v>
      </c>
      <c r="G136" s="60" t="s">
        <v>2266</v>
      </c>
    </row>
    <row r="137" spans="1:7" ht="14.25" customHeight="1">
      <c r="A137" s="45">
        <v>130</v>
      </c>
      <c r="B137" s="67" t="s">
        <v>2254</v>
      </c>
      <c r="C137" s="50" t="s">
        <v>2111</v>
      </c>
      <c r="D137" s="50" t="s">
        <v>1412</v>
      </c>
      <c r="E137" s="45" t="s">
        <v>1511</v>
      </c>
      <c r="F137" s="45" t="s">
        <v>1457</v>
      </c>
      <c r="G137" s="60" t="s">
        <v>2265</v>
      </c>
    </row>
    <row r="138" spans="1:7" ht="14.25" customHeight="1">
      <c r="A138" s="45">
        <v>131</v>
      </c>
      <c r="B138" s="54" t="s">
        <v>1655</v>
      </c>
      <c r="C138" s="50" t="s">
        <v>1552</v>
      </c>
      <c r="D138" s="32" t="s">
        <v>1277</v>
      </c>
      <c r="E138" s="45" t="s">
        <v>1511</v>
      </c>
      <c r="F138" s="45" t="s">
        <v>1457</v>
      </c>
      <c r="G138" s="45" t="s">
        <v>1484</v>
      </c>
    </row>
    <row r="139" spans="1:7" ht="14.25" customHeight="1">
      <c r="A139" s="45">
        <v>132</v>
      </c>
      <c r="B139" s="50" t="s">
        <v>1558</v>
      </c>
      <c r="C139" s="50" t="s">
        <v>1559</v>
      </c>
      <c r="D139" s="50" t="s">
        <v>1412</v>
      </c>
      <c r="E139" s="45" t="s">
        <v>1511</v>
      </c>
      <c r="F139" s="45" t="s">
        <v>1457</v>
      </c>
      <c r="G139" s="45" t="s">
        <v>1484</v>
      </c>
    </row>
    <row r="140" spans="1:7" ht="14.25" customHeight="1">
      <c r="A140" s="45">
        <v>133</v>
      </c>
      <c r="B140" s="255" t="s">
        <v>4206</v>
      </c>
      <c r="C140" s="254" t="s">
        <v>1564</v>
      </c>
      <c r="D140" s="254" t="s">
        <v>1492</v>
      </c>
      <c r="E140" s="45" t="s">
        <v>1511</v>
      </c>
      <c r="F140" s="45" t="s">
        <v>1457</v>
      </c>
      <c r="G140" s="45" t="s">
        <v>1371</v>
      </c>
    </row>
    <row r="141" spans="1:7" ht="14.25" customHeight="1">
      <c r="A141" s="45">
        <v>134</v>
      </c>
      <c r="B141" s="251" t="s">
        <v>1306</v>
      </c>
      <c r="C141" s="254" t="s">
        <v>1565</v>
      </c>
      <c r="D141" s="251" t="s">
        <v>1307</v>
      </c>
      <c r="E141" s="45" t="s">
        <v>1511</v>
      </c>
      <c r="F141" s="19" t="s">
        <v>3275</v>
      </c>
      <c r="G141" s="45" t="s">
        <v>871</v>
      </c>
    </row>
    <row r="142" spans="1:7" ht="14.25" customHeight="1">
      <c r="A142" s="45">
        <v>135</v>
      </c>
      <c r="B142" s="636" t="s">
        <v>6645</v>
      </c>
      <c r="C142" s="636" t="s">
        <v>5148</v>
      </c>
      <c r="D142" s="636" t="s">
        <v>6307</v>
      </c>
      <c r="E142" s="19" t="s">
        <v>4005</v>
      </c>
      <c r="F142" s="19" t="s">
        <v>3275</v>
      </c>
      <c r="G142" s="19" t="s">
        <v>6676</v>
      </c>
    </row>
    <row r="143" spans="1:7" ht="14.25" customHeight="1">
      <c r="A143" s="45">
        <v>136</v>
      </c>
      <c r="B143" s="254" t="s">
        <v>1469</v>
      </c>
      <c r="C143" s="254" t="s">
        <v>1569</v>
      </c>
      <c r="D143" s="254" t="s">
        <v>1412</v>
      </c>
      <c r="E143" s="45" t="s">
        <v>1511</v>
      </c>
      <c r="F143" s="45" t="s">
        <v>1457</v>
      </c>
      <c r="G143" s="45" t="s">
        <v>1371</v>
      </c>
    </row>
    <row r="144" spans="1:7" ht="14.25" customHeight="1">
      <c r="A144" s="45">
        <v>137</v>
      </c>
      <c r="B144" s="254" t="s">
        <v>1571</v>
      </c>
      <c r="C144" s="254" t="s">
        <v>1572</v>
      </c>
      <c r="D144" s="254" t="s">
        <v>1412</v>
      </c>
      <c r="E144" s="45" t="s">
        <v>1511</v>
      </c>
      <c r="F144" s="45" t="s">
        <v>1457</v>
      </c>
      <c r="G144" s="45" t="s">
        <v>1486</v>
      </c>
    </row>
    <row r="145" spans="1:7" ht="14.25" customHeight="1">
      <c r="A145" s="45">
        <v>138</v>
      </c>
      <c r="B145" s="261" t="s">
        <v>2271</v>
      </c>
      <c r="C145" s="262" t="s">
        <v>2273</v>
      </c>
      <c r="D145" s="254" t="s">
        <v>1412</v>
      </c>
      <c r="E145" s="45" t="s">
        <v>1511</v>
      </c>
      <c r="F145" s="45" t="s">
        <v>1457</v>
      </c>
      <c r="G145" s="60" t="s">
        <v>2276</v>
      </c>
    </row>
    <row r="146" spans="1:7" ht="14.25" customHeight="1">
      <c r="A146" s="45">
        <v>139</v>
      </c>
      <c r="B146" s="251" t="s">
        <v>1302</v>
      </c>
      <c r="C146" s="254" t="s">
        <v>1585</v>
      </c>
      <c r="D146" s="251" t="s">
        <v>1303</v>
      </c>
      <c r="E146" s="45" t="s">
        <v>1511</v>
      </c>
      <c r="F146" s="45" t="s">
        <v>1457</v>
      </c>
      <c r="G146" s="45" t="s">
        <v>871</v>
      </c>
    </row>
    <row r="147" spans="1:7" ht="14.25" customHeight="1">
      <c r="A147" s="45">
        <v>140</v>
      </c>
      <c r="B147" s="51" t="s">
        <v>1593</v>
      </c>
      <c r="C147" s="51" t="s">
        <v>1594</v>
      </c>
      <c r="D147" s="51" t="s">
        <v>1508</v>
      </c>
      <c r="E147" s="45" t="s">
        <v>1511</v>
      </c>
      <c r="F147" s="19" t="s">
        <v>1457</v>
      </c>
      <c r="G147" s="45" t="s">
        <v>1372</v>
      </c>
    </row>
    <row r="148" spans="1:7" ht="14.25" customHeight="1">
      <c r="A148" s="45">
        <v>141</v>
      </c>
      <c r="B148" s="31" t="s">
        <v>1591</v>
      </c>
      <c r="C148" s="51" t="s">
        <v>1597</v>
      </c>
      <c r="D148" s="31" t="s">
        <v>1507</v>
      </c>
      <c r="E148" s="45" t="s">
        <v>1511</v>
      </c>
      <c r="F148" s="45" t="s">
        <v>1457</v>
      </c>
      <c r="G148" s="45" t="s">
        <v>1487</v>
      </c>
    </row>
    <row r="149" spans="1:7" ht="14.25" customHeight="1">
      <c r="A149" s="45">
        <v>142</v>
      </c>
      <c r="B149" s="31" t="s">
        <v>24</v>
      </c>
      <c r="C149" s="51" t="s">
        <v>1595</v>
      </c>
      <c r="D149" s="31" t="s">
        <v>1328</v>
      </c>
      <c r="E149" s="45" t="s">
        <v>1511</v>
      </c>
      <c r="F149" s="45" t="s">
        <v>1457</v>
      </c>
      <c r="G149" s="45" t="s">
        <v>1376</v>
      </c>
    </row>
    <row r="150" spans="1:7" ht="14.25" customHeight="1">
      <c r="A150" s="45">
        <v>143</v>
      </c>
      <c r="B150" s="31" t="s">
        <v>2</v>
      </c>
      <c r="C150" s="51" t="s">
        <v>1596</v>
      </c>
      <c r="D150" s="31" t="s">
        <v>1325</v>
      </c>
      <c r="E150" s="45" t="s">
        <v>1511</v>
      </c>
      <c r="F150" s="45" t="s">
        <v>1457</v>
      </c>
      <c r="G150" s="45" t="s">
        <v>1487</v>
      </c>
    </row>
    <row r="151" spans="1:7" ht="14.25" customHeight="1">
      <c r="A151" s="45">
        <v>144</v>
      </c>
      <c r="B151" s="265" t="s">
        <v>3291</v>
      </c>
      <c r="C151" s="265" t="s">
        <v>3292</v>
      </c>
      <c r="D151" s="71" t="s">
        <v>1509</v>
      </c>
      <c r="E151" s="45" t="s">
        <v>1511</v>
      </c>
      <c r="F151" s="19" t="s">
        <v>1457</v>
      </c>
      <c r="G151" s="60" t="s">
        <v>2009</v>
      </c>
    </row>
    <row r="152" spans="1:7" ht="14.25" customHeight="1">
      <c r="A152" s="45">
        <v>145</v>
      </c>
      <c r="B152" s="57" t="s">
        <v>4252</v>
      </c>
      <c r="C152" s="44" t="s">
        <v>1598</v>
      </c>
      <c r="D152" s="30" t="s">
        <v>1342</v>
      </c>
      <c r="E152" s="45" t="s">
        <v>1511</v>
      </c>
      <c r="F152" s="45" t="s">
        <v>1457</v>
      </c>
      <c r="G152" s="45" t="s">
        <v>96</v>
      </c>
    </row>
    <row r="153" spans="1:7" ht="14.25" customHeight="1">
      <c r="A153" s="45">
        <v>146</v>
      </c>
      <c r="B153" s="44" t="s">
        <v>1600</v>
      </c>
      <c r="C153" s="44" t="s">
        <v>1354</v>
      </c>
      <c r="D153" s="44" t="s">
        <v>1412</v>
      </c>
      <c r="E153" s="45" t="s">
        <v>1511</v>
      </c>
      <c r="F153" s="45" t="s">
        <v>1457</v>
      </c>
      <c r="G153" s="45" t="s">
        <v>1373</v>
      </c>
    </row>
    <row r="154" spans="1:7" ht="14.25" customHeight="1">
      <c r="A154" s="45">
        <v>147</v>
      </c>
      <c r="B154" s="44" t="s">
        <v>1601</v>
      </c>
      <c r="C154" s="44" t="s">
        <v>1602</v>
      </c>
      <c r="D154" s="44" t="s">
        <v>1412</v>
      </c>
      <c r="E154" s="45" t="s">
        <v>1511</v>
      </c>
      <c r="F154" s="45" t="s">
        <v>1457</v>
      </c>
      <c r="G154" s="45" t="s">
        <v>1373</v>
      </c>
    </row>
    <row r="155" spans="1:7" ht="14.25" customHeight="1">
      <c r="A155" s="45">
        <v>148</v>
      </c>
      <c r="B155" s="667" t="s">
        <v>6647</v>
      </c>
      <c r="C155" s="667" t="s">
        <v>6646</v>
      </c>
      <c r="D155" s="668" t="s">
        <v>1510</v>
      </c>
      <c r="E155" s="19" t="s">
        <v>4005</v>
      </c>
      <c r="F155" s="19" t="s">
        <v>3275</v>
      </c>
      <c r="G155" s="19" t="s">
        <v>6677</v>
      </c>
    </row>
    <row r="156" spans="1:7" ht="14.25" customHeight="1">
      <c r="A156" s="45">
        <v>149</v>
      </c>
      <c r="B156" s="44" t="s">
        <v>1611</v>
      </c>
      <c r="C156" s="44" t="s">
        <v>1612</v>
      </c>
      <c r="D156" s="44" t="s">
        <v>1412</v>
      </c>
      <c r="E156" s="45" t="s">
        <v>1511</v>
      </c>
      <c r="F156" s="45" t="s">
        <v>1457</v>
      </c>
      <c r="G156" s="45" t="s">
        <v>1373</v>
      </c>
    </row>
    <row r="157" spans="1:7" ht="14.25" customHeight="1">
      <c r="A157" s="45">
        <v>150</v>
      </c>
      <c r="B157" s="30" t="s">
        <v>1332</v>
      </c>
      <c r="C157" s="44" t="s">
        <v>1613</v>
      </c>
      <c r="D157" s="30" t="s">
        <v>1333</v>
      </c>
      <c r="E157" s="45" t="s">
        <v>1511</v>
      </c>
      <c r="F157" s="45" t="s">
        <v>1457</v>
      </c>
      <c r="G157" s="45" t="s">
        <v>96</v>
      </c>
    </row>
    <row r="158" spans="1:7" ht="14.25" customHeight="1">
      <c r="A158" s="45">
        <v>151</v>
      </c>
      <c r="B158" s="57" t="s">
        <v>4253</v>
      </c>
      <c r="C158" s="44" t="s">
        <v>1624</v>
      </c>
      <c r="D158" s="30" t="s">
        <v>1343</v>
      </c>
      <c r="E158" s="45" t="s">
        <v>1511</v>
      </c>
      <c r="F158" s="45" t="s">
        <v>1457</v>
      </c>
      <c r="G158" s="45" t="s">
        <v>96</v>
      </c>
    </row>
    <row r="159" spans="1:7" ht="14.25" customHeight="1">
      <c r="A159" s="45">
        <v>152</v>
      </c>
      <c r="B159" s="57" t="s">
        <v>4254</v>
      </c>
      <c r="C159" s="44" t="s">
        <v>1625</v>
      </c>
      <c r="D159" s="30" t="s">
        <v>1345</v>
      </c>
      <c r="E159" s="45" t="s">
        <v>1511</v>
      </c>
      <c r="F159" s="45" t="s">
        <v>1457</v>
      </c>
      <c r="G159" s="45" t="s">
        <v>96</v>
      </c>
    </row>
    <row r="160" spans="1:7" ht="14.25" customHeight="1">
      <c r="A160" s="45">
        <v>153</v>
      </c>
      <c r="B160" s="30" t="s">
        <v>1330</v>
      </c>
      <c r="C160" s="44" t="s">
        <v>1626</v>
      </c>
      <c r="D160" s="30" t="s">
        <v>1331</v>
      </c>
      <c r="E160" s="45" t="s">
        <v>1511</v>
      </c>
      <c r="F160" s="45" t="s">
        <v>1457</v>
      </c>
      <c r="G160" s="45" t="s">
        <v>1375</v>
      </c>
    </row>
    <row r="161" spans="1:7" ht="14.25" customHeight="1">
      <c r="A161" s="45">
        <v>154</v>
      </c>
      <c r="B161" s="30" t="s">
        <v>505</v>
      </c>
      <c r="C161" s="44" t="s">
        <v>1628</v>
      </c>
      <c r="D161" s="30" t="s">
        <v>1339</v>
      </c>
      <c r="E161" s="45" t="s">
        <v>1511</v>
      </c>
      <c r="F161" s="45" t="s">
        <v>1457</v>
      </c>
      <c r="G161" s="45" t="s">
        <v>96</v>
      </c>
    </row>
    <row r="162" spans="1:7" ht="14.25" customHeight="1">
      <c r="A162" s="45">
        <v>155</v>
      </c>
      <c r="B162" s="33" t="s">
        <v>5</v>
      </c>
      <c r="C162" s="36" t="s">
        <v>1514</v>
      </c>
      <c r="D162" s="33" t="s">
        <v>1271</v>
      </c>
      <c r="E162" s="45" t="s">
        <v>1511</v>
      </c>
      <c r="F162" s="45" t="s">
        <v>1512</v>
      </c>
      <c r="G162" s="45" t="s">
        <v>736</v>
      </c>
    </row>
    <row r="163" spans="1:7" ht="14.25" customHeight="1">
      <c r="A163" s="45">
        <v>156</v>
      </c>
      <c r="B163" s="64" t="s">
        <v>2224</v>
      </c>
      <c r="C163" s="64" t="s">
        <v>2221</v>
      </c>
      <c r="D163" s="36" t="s">
        <v>1412</v>
      </c>
      <c r="E163" s="45" t="s">
        <v>1511</v>
      </c>
      <c r="F163" s="45" t="s">
        <v>1512</v>
      </c>
      <c r="G163" s="60" t="s">
        <v>736</v>
      </c>
    </row>
    <row r="164" spans="1:7" ht="14.25" customHeight="1">
      <c r="A164" s="45">
        <v>157</v>
      </c>
      <c r="B164" s="36" t="s">
        <v>1346</v>
      </c>
      <c r="C164" s="55" t="s">
        <v>2811</v>
      </c>
      <c r="D164" s="36" t="s">
        <v>1510</v>
      </c>
      <c r="E164" s="45" t="s">
        <v>1511</v>
      </c>
      <c r="F164" s="45" t="s">
        <v>1512</v>
      </c>
      <c r="G164" s="45" t="s">
        <v>1482</v>
      </c>
    </row>
    <row r="165" spans="1:7" ht="14.25" customHeight="1">
      <c r="A165" s="45">
        <v>158</v>
      </c>
      <c r="B165" s="64" t="s">
        <v>2228</v>
      </c>
      <c r="C165" s="64" t="s">
        <v>2219</v>
      </c>
      <c r="D165" s="36" t="s">
        <v>1412</v>
      </c>
      <c r="E165" s="45" t="s">
        <v>1511</v>
      </c>
      <c r="F165" s="45" t="s">
        <v>1512</v>
      </c>
      <c r="G165" s="60" t="s">
        <v>736</v>
      </c>
    </row>
    <row r="166" spans="1:7" ht="14.25" customHeight="1">
      <c r="A166" s="45">
        <v>159</v>
      </c>
      <c r="B166" s="36" t="s">
        <v>2552</v>
      </c>
      <c r="C166" s="55" t="s">
        <v>2813</v>
      </c>
      <c r="D166" s="175" t="s">
        <v>2517</v>
      </c>
      <c r="E166" s="45" t="s">
        <v>1511</v>
      </c>
      <c r="F166" s="45" t="s">
        <v>1512</v>
      </c>
      <c r="G166" s="174" t="s">
        <v>2519</v>
      </c>
    </row>
    <row r="167" spans="1:7" ht="14.25" customHeight="1">
      <c r="A167" s="45">
        <v>160</v>
      </c>
      <c r="B167" s="36" t="s">
        <v>1465</v>
      </c>
      <c r="C167" s="55" t="s">
        <v>2815</v>
      </c>
      <c r="D167" s="36" t="s">
        <v>1412</v>
      </c>
      <c r="E167" s="45" t="s">
        <v>1511</v>
      </c>
      <c r="F167" s="45" t="s">
        <v>1512</v>
      </c>
      <c r="G167" s="45" t="s">
        <v>1482</v>
      </c>
    </row>
    <row r="168" spans="1:7" ht="14.25" customHeight="1">
      <c r="A168" s="45">
        <v>161</v>
      </c>
      <c r="B168" s="55" t="s">
        <v>1665</v>
      </c>
      <c r="C168" s="55" t="s">
        <v>1516</v>
      </c>
      <c r="D168" s="36" t="s">
        <v>1412</v>
      </c>
      <c r="E168" s="45" t="s">
        <v>1511</v>
      </c>
      <c r="F168" s="45" t="s">
        <v>1512</v>
      </c>
      <c r="G168" s="45" t="s">
        <v>1482</v>
      </c>
    </row>
    <row r="169" spans="1:7" ht="14.25" customHeight="1">
      <c r="A169" s="45">
        <v>162</v>
      </c>
      <c r="B169" s="55" t="s">
        <v>2772</v>
      </c>
      <c r="C169" s="55" t="s">
        <v>2807</v>
      </c>
      <c r="D169" s="36" t="s">
        <v>1412</v>
      </c>
      <c r="E169" s="45" t="s">
        <v>1511</v>
      </c>
      <c r="F169" s="45" t="s">
        <v>1512</v>
      </c>
      <c r="G169" s="45" t="s">
        <v>1368</v>
      </c>
    </row>
    <row r="170" spans="1:7" ht="14.25" customHeight="1">
      <c r="A170" s="45">
        <v>163</v>
      </c>
      <c r="B170" s="64" t="s">
        <v>2234</v>
      </c>
      <c r="C170" s="64" t="s">
        <v>2232</v>
      </c>
      <c r="D170" s="55" t="s">
        <v>5137</v>
      </c>
      <c r="E170" s="45" t="s">
        <v>1511</v>
      </c>
      <c r="F170" s="45" t="s">
        <v>1512</v>
      </c>
      <c r="G170" s="60" t="s">
        <v>736</v>
      </c>
    </row>
    <row r="171" spans="1:7" ht="14.25" customHeight="1">
      <c r="A171" s="45">
        <v>164</v>
      </c>
      <c r="B171" s="64" t="s">
        <v>2236</v>
      </c>
      <c r="C171" s="36" t="s">
        <v>1894</v>
      </c>
      <c r="D171" s="36" t="s">
        <v>1412</v>
      </c>
      <c r="E171" s="45" t="s">
        <v>1511</v>
      </c>
      <c r="F171" s="45" t="s">
        <v>1512</v>
      </c>
      <c r="G171" s="60" t="s">
        <v>736</v>
      </c>
    </row>
    <row r="172" spans="1:7" ht="14.25" customHeight="1">
      <c r="A172" s="45">
        <v>165</v>
      </c>
      <c r="B172" s="66" t="s">
        <v>2210</v>
      </c>
      <c r="C172" s="64" t="s">
        <v>2210</v>
      </c>
      <c r="D172" s="36" t="s">
        <v>1412</v>
      </c>
      <c r="E172" s="45" t="s">
        <v>1511</v>
      </c>
      <c r="F172" s="45" t="s">
        <v>1512</v>
      </c>
      <c r="G172" s="60" t="s">
        <v>2005</v>
      </c>
    </row>
    <row r="173" spans="1:7" ht="14.25" customHeight="1">
      <c r="A173" s="45">
        <v>166</v>
      </c>
      <c r="B173" s="33" t="s">
        <v>1257</v>
      </c>
      <c r="C173" s="36" t="s">
        <v>1518</v>
      </c>
      <c r="D173" s="33" t="s">
        <v>1258</v>
      </c>
      <c r="E173" s="45" t="s">
        <v>1511</v>
      </c>
      <c r="F173" s="45" t="s">
        <v>1512</v>
      </c>
      <c r="G173" s="45" t="s">
        <v>736</v>
      </c>
    </row>
    <row r="174" spans="1:7" ht="14.25" customHeight="1">
      <c r="A174" s="45">
        <v>167</v>
      </c>
      <c r="B174" s="36" t="s">
        <v>1466</v>
      </c>
      <c r="C174" s="36" t="s">
        <v>1519</v>
      </c>
      <c r="D174" s="36" t="s">
        <v>1504</v>
      </c>
      <c r="E174" s="45" t="s">
        <v>1511</v>
      </c>
      <c r="F174" s="45" t="s">
        <v>1512</v>
      </c>
      <c r="G174" s="45" t="s">
        <v>1368</v>
      </c>
    </row>
    <row r="175" spans="1:7" ht="14.25" customHeight="1">
      <c r="A175" s="45">
        <v>168</v>
      </c>
      <c r="B175" s="33" t="s">
        <v>3</v>
      </c>
      <c r="C175" s="36" t="s">
        <v>1520</v>
      </c>
      <c r="D175" s="33" t="s">
        <v>1503</v>
      </c>
      <c r="E175" s="45" t="s">
        <v>1511</v>
      </c>
      <c r="F175" s="45" t="s">
        <v>1512</v>
      </c>
      <c r="G175" s="45" t="s">
        <v>736</v>
      </c>
    </row>
    <row r="176" spans="1:7" ht="14.25" customHeight="1">
      <c r="A176" s="45">
        <v>169</v>
      </c>
      <c r="B176" s="55" t="s">
        <v>6664</v>
      </c>
      <c r="C176" s="64" t="s">
        <v>2216</v>
      </c>
      <c r="D176" s="55" t="s">
        <v>5138</v>
      </c>
      <c r="E176" s="45" t="s">
        <v>1511</v>
      </c>
      <c r="F176" s="45" t="s">
        <v>1512</v>
      </c>
      <c r="G176" s="60" t="s">
        <v>736</v>
      </c>
    </row>
    <row r="177" spans="1:7" ht="14.25" customHeight="1">
      <c r="A177" s="45">
        <v>170</v>
      </c>
      <c r="B177" s="53" t="s">
        <v>1664</v>
      </c>
      <c r="C177" s="36" t="s">
        <v>1521</v>
      </c>
      <c r="D177" s="33" t="s">
        <v>1255</v>
      </c>
      <c r="E177" s="45" t="s">
        <v>1511</v>
      </c>
      <c r="F177" s="45" t="s">
        <v>1512</v>
      </c>
      <c r="G177" s="45" t="s">
        <v>1483</v>
      </c>
    </row>
    <row r="178" spans="1:7" ht="14.25" customHeight="1">
      <c r="A178" s="45">
        <v>171</v>
      </c>
      <c r="B178" s="64" t="s">
        <v>2235</v>
      </c>
      <c r="C178" s="64" t="s">
        <v>2233</v>
      </c>
      <c r="D178" s="36" t="s">
        <v>1412</v>
      </c>
      <c r="E178" s="45" t="s">
        <v>1511</v>
      </c>
      <c r="F178" s="45" t="s">
        <v>1512</v>
      </c>
      <c r="G178" s="60" t="s">
        <v>736</v>
      </c>
    </row>
    <row r="179" spans="1:7" ht="14.25" customHeight="1">
      <c r="A179" s="45">
        <v>172</v>
      </c>
      <c r="B179" s="55" t="s">
        <v>1658</v>
      </c>
      <c r="C179" s="36" t="s">
        <v>1523</v>
      </c>
      <c r="D179" s="36" t="s">
        <v>1412</v>
      </c>
      <c r="E179" s="45" t="s">
        <v>1511</v>
      </c>
      <c r="F179" s="45" t="s">
        <v>1512</v>
      </c>
      <c r="G179" s="45" t="s">
        <v>1368</v>
      </c>
    </row>
    <row r="180" spans="1:7" ht="14.25" customHeight="1">
      <c r="A180" s="45">
        <v>173</v>
      </c>
      <c r="B180" s="33" t="s">
        <v>4070</v>
      </c>
      <c r="C180" s="33" t="s">
        <v>4070</v>
      </c>
      <c r="D180" s="36" t="s">
        <v>1412</v>
      </c>
      <c r="E180" s="45" t="s">
        <v>1511</v>
      </c>
      <c r="F180" s="45" t="s">
        <v>1512</v>
      </c>
      <c r="G180" s="45" t="s">
        <v>729</v>
      </c>
    </row>
    <row r="181" spans="1:7" ht="14.25" customHeight="1">
      <c r="A181" s="45">
        <v>174</v>
      </c>
      <c r="B181" s="36" t="s">
        <v>1481</v>
      </c>
      <c r="C181" s="55" t="s">
        <v>2808</v>
      </c>
      <c r="D181" s="33" t="s">
        <v>1264</v>
      </c>
      <c r="E181" s="45" t="s">
        <v>1511</v>
      </c>
      <c r="F181" s="45" t="s">
        <v>1512</v>
      </c>
      <c r="G181" s="45" t="s">
        <v>736</v>
      </c>
    </row>
    <row r="182" spans="1:7" ht="14.25" customHeight="1">
      <c r="A182" s="45">
        <v>175</v>
      </c>
      <c r="B182" s="36" t="s">
        <v>2551</v>
      </c>
      <c r="C182" s="175" t="s">
        <v>2619</v>
      </c>
      <c r="D182" s="55" t="s">
        <v>5141</v>
      </c>
      <c r="E182" s="45" t="s">
        <v>1511</v>
      </c>
      <c r="F182" s="45" t="s">
        <v>1512</v>
      </c>
      <c r="G182" s="174" t="s">
        <v>2519</v>
      </c>
    </row>
    <row r="183" spans="1:7" ht="14.25" customHeight="1">
      <c r="A183" s="45">
        <v>176</v>
      </c>
      <c r="B183" s="66" t="s">
        <v>2222</v>
      </c>
      <c r="C183" s="64" t="s">
        <v>2214</v>
      </c>
      <c r="D183" s="55" t="s">
        <v>5140</v>
      </c>
      <c r="E183" s="45" t="s">
        <v>1511</v>
      </c>
      <c r="F183" s="45" t="s">
        <v>1512</v>
      </c>
      <c r="G183" s="60" t="s">
        <v>2237</v>
      </c>
    </row>
    <row r="184" spans="1:7" ht="14.25" customHeight="1">
      <c r="A184" s="45">
        <v>177</v>
      </c>
      <c r="B184" s="55" t="s">
        <v>6700</v>
      </c>
      <c r="C184" s="55" t="s">
        <v>6703</v>
      </c>
      <c r="D184" s="36" t="s">
        <v>1412</v>
      </c>
      <c r="E184" s="45" t="s">
        <v>1511</v>
      </c>
      <c r="F184" s="45" t="s">
        <v>1512</v>
      </c>
      <c r="G184" s="45" t="s">
        <v>1482</v>
      </c>
    </row>
    <row r="185" spans="1:7" ht="14.25" customHeight="1">
      <c r="A185" s="45">
        <v>178</v>
      </c>
      <c r="B185" s="55" t="s">
        <v>6701</v>
      </c>
      <c r="C185" s="55" t="s">
        <v>6704</v>
      </c>
      <c r="D185" s="36" t="s">
        <v>1412</v>
      </c>
      <c r="E185" s="45" t="s">
        <v>1511</v>
      </c>
      <c r="F185" s="45" t="s">
        <v>1512</v>
      </c>
      <c r="G185" s="45" t="s">
        <v>729</v>
      </c>
    </row>
    <row r="186" spans="1:7" ht="14.25" customHeight="1">
      <c r="A186" s="45">
        <v>179</v>
      </c>
      <c r="B186" s="175" t="s">
        <v>2620</v>
      </c>
      <c r="C186" s="55" t="s">
        <v>6702</v>
      </c>
      <c r="D186" s="55" t="s">
        <v>5130</v>
      </c>
      <c r="E186" s="45" t="s">
        <v>1511</v>
      </c>
      <c r="F186" s="45" t="s">
        <v>1512</v>
      </c>
      <c r="G186" s="174" t="s">
        <v>2519</v>
      </c>
    </row>
    <row r="187" spans="1:7" ht="14.25" customHeight="1">
      <c r="A187" s="45">
        <v>180</v>
      </c>
      <c r="B187" s="36" t="s">
        <v>1460</v>
      </c>
      <c r="C187" s="36" t="s">
        <v>1527</v>
      </c>
      <c r="D187" s="36" t="s">
        <v>1412</v>
      </c>
      <c r="E187" s="45" t="s">
        <v>1511</v>
      </c>
      <c r="F187" s="45" t="s">
        <v>1512</v>
      </c>
      <c r="G187" s="45" t="s">
        <v>1482</v>
      </c>
    </row>
    <row r="188" spans="1:7" ht="14.25" customHeight="1">
      <c r="A188" s="45">
        <v>181</v>
      </c>
      <c r="B188" s="33" t="s">
        <v>1274</v>
      </c>
      <c r="C188" s="36" t="s">
        <v>1528</v>
      </c>
      <c r="D188" s="33" t="s">
        <v>1275</v>
      </c>
      <c r="E188" s="45" t="s">
        <v>1511</v>
      </c>
      <c r="F188" s="45" t="s">
        <v>1512</v>
      </c>
      <c r="G188" s="45" t="s">
        <v>736</v>
      </c>
    </row>
    <row r="189" spans="1:7" ht="14.25" customHeight="1">
      <c r="A189" s="45">
        <v>182</v>
      </c>
      <c r="B189" s="36" t="s">
        <v>1505</v>
      </c>
      <c r="C189" s="36" t="s">
        <v>1531</v>
      </c>
      <c r="D189" s="36" t="s">
        <v>1412</v>
      </c>
      <c r="E189" s="45" t="s">
        <v>1511</v>
      </c>
      <c r="F189" s="45" t="s">
        <v>1512</v>
      </c>
      <c r="G189" s="45" t="s">
        <v>1368</v>
      </c>
    </row>
    <row r="190" spans="1:7" ht="14.25" customHeight="1">
      <c r="A190" s="45">
        <v>183</v>
      </c>
      <c r="B190" s="36" t="s">
        <v>1491</v>
      </c>
      <c r="C190" s="36" t="s">
        <v>1532</v>
      </c>
      <c r="D190" s="36" t="s">
        <v>1412</v>
      </c>
      <c r="E190" s="45" t="s">
        <v>1511</v>
      </c>
      <c r="F190" s="45" t="s">
        <v>1512</v>
      </c>
      <c r="G190" s="45" t="s">
        <v>1483</v>
      </c>
    </row>
    <row r="191" spans="1:7" ht="14.25" customHeight="1">
      <c r="A191" s="45">
        <v>184</v>
      </c>
      <c r="B191" s="64" t="s">
        <v>2226</v>
      </c>
      <c r="C191" s="64" t="s">
        <v>2225</v>
      </c>
      <c r="D191" s="36" t="s">
        <v>1412</v>
      </c>
      <c r="E191" s="45" t="s">
        <v>1511</v>
      </c>
      <c r="F191" s="45" t="s">
        <v>1512</v>
      </c>
      <c r="G191" s="60" t="s">
        <v>736</v>
      </c>
    </row>
    <row r="192" spans="1:7" ht="14.25" customHeight="1">
      <c r="A192" s="45">
        <v>185</v>
      </c>
      <c r="B192" s="36" t="s">
        <v>1472</v>
      </c>
      <c r="C192" s="36" t="s">
        <v>1533</v>
      </c>
      <c r="D192" s="36" t="s">
        <v>1412</v>
      </c>
      <c r="E192" s="45" t="s">
        <v>1511</v>
      </c>
      <c r="F192" s="45" t="s">
        <v>1512</v>
      </c>
      <c r="G192" s="45" t="s">
        <v>1368</v>
      </c>
    </row>
    <row r="193" spans="1:7" ht="14.25" customHeight="1">
      <c r="A193" s="45">
        <v>186</v>
      </c>
      <c r="B193" s="64" t="s">
        <v>2238</v>
      </c>
      <c r="C193" s="64" t="s">
        <v>2218</v>
      </c>
      <c r="D193" s="36" t="s">
        <v>1412</v>
      </c>
      <c r="E193" s="45" t="s">
        <v>1511</v>
      </c>
      <c r="F193" s="45" t="s">
        <v>1512</v>
      </c>
      <c r="G193" s="60" t="s">
        <v>736</v>
      </c>
    </row>
    <row r="194" spans="1:7" ht="14.25" customHeight="1">
      <c r="A194" s="45">
        <v>187</v>
      </c>
      <c r="B194" s="55" t="s">
        <v>4051</v>
      </c>
      <c r="C194" s="55" t="s">
        <v>4051</v>
      </c>
      <c r="D194" s="36" t="s">
        <v>1412</v>
      </c>
      <c r="E194" s="45" t="s">
        <v>1511</v>
      </c>
      <c r="F194" s="45" t="s">
        <v>1512</v>
      </c>
      <c r="G194" s="60" t="s">
        <v>736</v>
      </c>
    </row>
    <row r="195" spans="1:7" ht="14.25" customHeight="1">
      <c r="A195" s="45">
        <v>188</v>
      </c>
      <c r="B195" s="64" t="s">
        <v>2227</v>
      </c>
      <c r="C195" s="64" t="s">
        <v>2217</v>
      </c>
      <c r="D195" s="36" t="s">
        <v>1412</v>
      </c>
      <c r="E195" s="45" t="s">
        <v>1511</v>
      </c>
      <c r="F195" s="45" t="s">
        <v>1512</v>
      </c>
      <c r="G195" s="60" t="s">
        <v>736</v>
      </c>
    </row>
    <row r="196" spans="1:7" ht="14.25" customHeight="1">
      <c r="A196" s="45">
        <v>189</v>
      </c>
      <c r="B196" s="64" t="s">
        <v>2223</v>
      </c>
      <c r="C196" s="64" t="s">
        <v>2215</v>
      </c>
      <c r="D196" s="36" t="s">
        <v>1412</v>
      </c>
      <c r="E196" s="45" t="s">
        <v>1511</v>
      </c>
      <c r="F196" s="45" t="s">
        <v>1512</v>
      </c>
      <c r="G196" s="60" t="s">
        <v>736</v>
      </c>
    </row>
    <row r="197" spans="1:7" ht="14.25" customHeight="1">
      <c r="A197" s="45">
        <v>190</v>
      </c>
      <c r="B197" s="55" t="s">
        <v>1667</v>
      </c>
      <c r="C197" s="36" t="s">
        <v>1534</v>
      </c>
      <c r="D197" s="36" t="s">
        <v>1412</v>
      </c>
      <c r="E197" s="45" t="s">
        <v>1511</v>
      </c>
      <c r="F197" s="45" t="s">
        <v>1512</v>
      </c>
      <c r="G197" s="45" t="s">
        <v>1482</v>
      </c>
    </row>
    <row r="198" spans="1:7" ht="14.25" customHeight="1">
      <c r="A198" s="45">
        <v>191</v>
      </c>
      <c r="B198" s="54" t="s">
        <v>6060</v>
      </c>
      <c r="C198" s="183" t="s">
        <v>6058</v>
      </c>
      <c r="D198" s="54" t="s">
        <v>6059</v>
      </c>
      <c r="E198" s="45" t="s">
        <v>1511</v>
      </c>
      <c r="F198" s="45" t="s">
        <v>1512</v>
      </c>
      <c r="G198" s="45" t="s">
        <v>1370</v>
      </c>
    </row>
    <row r="199" spans="1:7" ht="14.25" customHeight="1">
      <c r="A199" s="45">
        <v>192</v>
      </c>
      <c r="B199" s="50" t="s">
        <v>69</v>
      </c>
      <c r="C199" s="50" t="s">
        <v>1538</v>
      </c>
      <c r="D199" s="50" t="s">
        <v>1412</v>
      </c>
      <c r="E199" s="45" t="s">
        <v>1511</v>
      </c>
      <c r="F199" s="45" t="s">
        <v>1512</v>
      </c>
      <c r="G199" s="45" t="s">
        <v>1484</v>
      </c>
    </row>
    <row r="200" spans="1:7" ht="14.25" customHeight="1">
      <c r="A200" s="45">
        <v>193</v>
      </c>
      <c r="B200" s="50" t="s">
        <v>1468</v>
      </c>
      <c r="C200" s="50" t="s">
        <v>1539</v>
      </c>
      <c r="D200" s="50" t="s">
        <v>1412</v>
      </c>
      <c r="E200" s="45" t="s">
        <v>1511</v>
      </c>
      <c r="F200" s="45" t="s">
        <v>1512</v>
      </c>
      <c r="G200" s="45" t="s">
        <v>1369</v>
      </c>
    </row>
    <row r="201" spans="1:7" ht="14.25" customHeight="1">
      <c r="A201" s="45">
        <v>194</v>
      </c>
      <c r="B201" s="176" t="s">
        <v>2743</v>
      </c>
      <c r="C201" s="50" t="s">
        <v>1540</v>
      </c>
      <c r="D201" s="50" t="s">
        <v>1412</v>
      </c>
      <c r="E201" s="45" t="s">
        <v>1511</v>
      </c>
      <c r="F201" s="45" t="s">
        <v>1512</v>
      </c>
      <c r="G201" s="45" t="s">
        <v>1484</v>
      </c>
    </row>
    <row r="202" spans="1:7" ht="14.25" customHeight="1">
      <c r="A202" s="45">
        <v>195</v>
      </c>
      <c r="B202" s="176" t="s">
        <v>2367</v>
      </c>
      <c r="C202" s="176" t="s">
        <v>2369</v>
      </c>
      <c r="D202" s="50" t="s">
        <v>1412</v>
      </c>
      <c r="E202" s="45" t="s">
        <v>1511</v>
      </c>
      <c r="F202" s="45" t="s">
        <v>1512</v>
      </c>
      <c r="G202" s="45" t="s">
        <v>1369</v>
      </c>
    </row>
    <row r="203" spans="1:7" ht="14.25" customHeight="1">
      <c r="A203" s="45">
        <v>196</v>
      </c>
      <c r="B203" s="50" t="s">
        <v>1474</v>
      </c>
      <c r="C203" s="50" t="s">
        <v>1541</v>
      </c>
      <c r="D203" s="50" t="s">
        <v>1412</v>
      </c>
      <c r="E203" s="45" t="s">
        <v>1511</v>
      </c>
      <c r="F203" s="45" t="s">
        <v>1512</v>
      </c>
      <c r="G203" s="45" t="s">
        <v>1369</v>
      </c>
    </row>
    <row r="204" spans="1:7" ht="14.25" customHeight="1">
      <c r="A204" s="45">
        <v>197</v>
      </c>
      <c r="B204" s="50" t="s">
        <v>1475</v>
      </c>
      <c r="C204" s="176" t="s">
        <v>1542</v>
      </c>
      <c r="D204" s="50" t="s">
        <v>1412</v>
      </c>
      <c r="E204" s="45" t="s">
        <v>1511</v>
      </c>
      <c r="F204" s="45" t="s">
        <v>1512</v>
      </c>
      <c r="G204" s="45" t="s">
        <v>1369</v>
      </c>
    </row>
    <row r="205" spans="1:7" ht="14.25" customHeight="1">
      <c r="A205" s="45">
        <v>198</v>
      </c>
      <c r="B205" s="50" t="s">
        <v>2559</v>
      </c>
      <c r="C205" s="176" t="s">
        <v>2621</v>
      </c>
      <c r="D205" s="176" t="s">
        <v>2517</v>
      </c>
      <c r="E205" s="45" t="s">
        <v>1511</v>
      </c>
      <c r="F205" s="45" t="s">
        <v>1512</v>
      </c>
      <c r="G205" s="174" t="s">
        <v>2520</v>
      </c>
    </row>
    <row r="206" spans="1:7" ht="14.25" customHeight="1">
      <c r="A206" s="45">
        <v>199</v>
      </c>
      <c r="B206" s="50" t="s">
        <v>1461</v>
      </c>
      <c r="C206" s="183" t="s">
        <v>5252</v>
      </c>
      <c r="D206" s="50" t="s">
        <v>1412</v>
      </c>
      <c r="E206" s="45" t="s">
        <v>1511</v>
      </c>
      <c r="F206" s="45" t="s">
        <v>1512</v>
      </c>
      <c r="G206" s="45" t="s">
        <v>1484</v>
      </c>
    </row>
    <row r="207" spans="1:7" ht="14.25" customHeight="1">
      <c r="A207" s="45">
        <v>200</v>
      </c>
      <c r="B207" s="50" t="s">
        <v>1349</v>
      </c>
      <c r="C207" s="50" t="s">
        <v>1543</v>
      </c>
      <c r="D207" s="50" t="s">
        <v>1412</v>
      </c>
      <c r="E207" s="45" t="s">
        <v>1511</v>
      </c>
      <c r="F207" s="45" t="s">
        <v>1512</v>
      </c>
      <c r="G207" s="45" t="s">
        <v>1484</v>
      </c>
    </row>
    <row r="208" spans="1:7" ht="14.25" customHeight="1">
      <c r="A208" s="45">
        <v>201</v>
      </c>
      <c r="B208" s="50" t="s">
        <v>68</v>
      </c>
      <c r="C208" s="50" t="s">
        <v>1544</v>
      </c>
      <c r="D208" s="50" t="s">
        <v>1412</v>
      </c>
      <c r="E208" s="45" t="s">
        <v>1511</v>
      </c>
      <c r="F208" s="45" t="s">
        <v>1512</v>
      </c>
      <c r="G208" s="45" t="s">
        <v>1484</v>
      </c>
    </row>
    <row r="209" spans="1:7" ht="14.25" customHeight="1">
      <c r="A209" s="45">
        <v>202</v>
      </c>
      <c r="B209" s="50" t="s">
        <v>1467</v>
      </c>
      <c r="C209" s="50" t="s">
        <v>1545</v>
      </c>
      <c r="D209" s="32" t="s">
        <v>1293</v>
      </c>
      <c r="E209" s="45" t="s">
        <v>1511</v>
      </c>
      <c r="F209" s="45" t="s">
        <v>1512</v>
      </c>
      <c r="G209" s="45" t="s">
        <v>1369</v>
      </c>
    </row>
    <row r="210" spans="1:7" ht="14.25" customHeight="1">
      <c r="A210" s="45">
        <v>203</v>
      </c>
      <c r="B210" s="67" t="s">
        <v>2253</v>
      </c>
      <c r="C210" s="67" t="s">
        <v>2250</v>
      </c>
      <c r="D210" s="50" t="s">
        <v>1412</v>
      </c>
      <c r="E210" s="45" t="s">
        <v>1511</v>
      </c>
      <c r="F210" s="45" t="s">
        <v>1512</v>
      </c>
      <c r="G210" s="60" t="s">
        <v>2265</v>
      </c>
    </row>
    <row r="211" spans="1:7" ht="14.25" customHeight="1">
      <c r="A211" s="45">
        <v>204</v>
      </c>
      <c r="B211" s="67" t="s">
        <v>2261</v>
      </c>
      <c r="C211" s="67" t="s">
        <v>2251</v>
      </c>
      <c r="D211" s="50" t="s">
        <v>1412</v>
      </c>
      <c r="E211" s="45" t="s">
        <v>1511</v>
      </c>
      <c r="F211" s="45" t="s">
        <v>1512</v>
      </c>
      <c r="G211" s="60" t="s">
        <v>2266</v>
      </c>
    </row>
    <row r="212" spans="1:7" ht="14.25" customHeight="1">
      <c r="A212" s="45">
        <v>205</v>
      </c>
      <c r="B212" s="50" t="s">
        <v>67</v>
      </c>
      <c r="C212" s="67" t="s">
        <v>1547</v>
      </c>
      <c r="D212" s="50" t="s">
        <v>1412</v>
      </c>
      <c r="E212" s="45" t="s">
        <v>1511</v>
      </c>
      <c r="F212" s="45" t="s">
        <v>1512</v>
      </c>
      <c r="G212" s="45" t="s">
        <v>1484</v>
      </c>
    </row>
    <row r="213" spans="1:7" ht="14.25" customHeight="1">
      <c r="A213" s="45">
        <v>206</v>
      </c>
      <c r="B213" s="67" t="s">
        <v>2260</v>
      </c>
      <c r="C213" s="67" t="s">
        <v>2252</v>
      </c>
      <c r="D213" s="50" t="s">
        <v>1412</v>
      </c>
      <c r="E213" s="45" t="s">
        <v>1511</v>
      </c>
      <c r="F213" s="45" t="s">
        <v>1512</v>
      </c>
      <c r="G213" s="60" t="s">
        <v>2266</v>
      </c>
    </row>
    <row r="214" spans="1:7" ht="14.25" customHeight="1">
      <c r="A214" s="45">
        <v>207</v>
      </c>
      <c r="B214" s="67" t="s">
        <v>2255</v>
      </c>
      <c r="C214" s="67" t="s">
        <v>2244</v>
      </c>
      <c r="D214" s="50" t="s">
        <v>1412</v>
      </c>
      <c r="E214" s="45" t="s">
        <v>1511</v>
      </c>
      <c r="F214" s="45" t="s">
        <v>1512</v>
      </c>
      <c r="G214" s="60" t="s">
        <v>2266</v>
      </c>
    </row>
    <row r="215" spans="1:7" ht="14.25" customHeight="1">
      <c r="A215" s="45">
        <v>208</v>
      </c>
      <c r="B215" s="669" t="s">
        <v>6657</v>
      </c>
      <c r="C215" s="669" t="s">
        <v>6656</v>
      </c>
      <c r="D215" s="670" t="s">
        <v>1510</v>
      </c>
      <c r="E215" s="19" t="s">
        <v>4005</v>
      </c>
      <c r="F215" s="19" t="s">
        <v>2740</v>
      </c>
      <c r="G215" s="19" t="s">
        <v>6681</v>
      </c>
    </row>
    <row r="216" spans="1:7" ht="14.25" customHeight="1">
      <c r="A216" s="45">
        <v>209</v>
      </c>
      <c r="B216" s="669" t="s">
        <v>6653</v>
      </c>
      <c r="C216" s="669" t="s">
        <v>6652</v>
      </c>
      <c r="D216" s="670" t="s">
        <v>1510</v>
      </c>
      <c r="E216" s="19" t="s">
        <v>4005</v>
      </c>
      <c r="F216" s="19" t="s">
        <v>2740</v>
      </c>
      <c r="G216" s="19" t="s">
        <v>6679</v>
      </c>
    </row>
    <row r="217" spans="1:7" ht="14.25" customHeight="1">
      <c r="A217" s="45">
        <v>210</v>
      </c>
      <c r="B217" s="67" t="s">
        <v>1549</v>
      </c>
      <c r="C217" s="50" t="s">
        <v>1550</v>
      </c>
      <c r="D217" s="50" t="s">
        <v>1412</v>
      </c>
      <c r="E217" s="45" t="s">
        <v>1511</v>
      </c>
      <c r="F217" s="45" t="s">
        <v>1512</v>
      </c>
      <c r="G217" s="45" t="s">
        <v>1369</v>
      </c>
    </row>
    <row r="218" spans="1:7" ht="14.25" customHeight="1">
      <c r="A218" s="45">
        <v>211</v>
      </c>
      <c r="B218" s="67" t="s">
        <v>2264</v>
      </c>
      <c r="C218" s="67" t="s">
        <v>2249</v>
      </c>
      <c r="D218" s="67" t="s">
        <v>2268</v>
      </c>
      <c r="E218" s="45" t="s">
        <v>1511</v>
      </c>
      <c r="F218" s="45" t="s">
        <v>1512</v>
      </c>
      <c r="G218" s="60" t="s">
        <v>2266</v>
      </c>
    </row>
    <row r="219" spans="1:7" ht="14.25" customHeight="1">
      <c r="A219" s="45">
        <v>212</v>
      </c>
      <c r="B219" s="32" t="s">
        <v>1290</v>
      </c>
      <c r="C219" s="50" t="s">
        <v>1551</v>
      </c>
      <c r="D219" s="32" t="s">
        <v>1291</v>
      </c>
      <c r="E219" s="45" t="s">
        <v>1511</v>
      </c>
      <c r="F219" s="45" t="s">
        <v>1512</v>
      </c>
      <c r="G219" s="45" t="s">
        <v>1370</v>
      </c>
    </row>
    <row r="220" spans="1:7" ht="14.25" customHeight="1">
      <c r="A220" s="45">
        <v>213</v>
      </c>
      <c r="B220" s="67" t="s">
        <v>2256</v>
      </c>
      <c r="C220" s="67" t="s">
        <v>1553</v>
      </c>
      <c r="D220" s="50" t="s">
        <v>1412</v>
      </c>
      <c r="E220" s="45" t="s">
        <v>1511</v>
      </c>
      <c r="F220" s="45" t="s">
        <v>1512</v>
      </c>
      <c r="G220" s="45" t="s">
        <v>1484</v>
      </c>
    </row>
    <row r="221" spans="1:7" ht="14.25" customHeight="1">
      <c r="A221" s="45">
        <v>214</v>
      </c>
      <c r="B221" s="67" t="s">
        <v>2258</v>
      </c>
      <c r="C221" s="67" t="s">
        <v>2246</v>
      </c>
      <c r="D221" s="50" t="s">
        <v>1412</v>
      </c>
      <c r="E221" s="45" t="s">
        <v>1511</v>
      </c>
      <c r="F221" s="45" t="s">
        <v>1512</v>
      </c>
      <c r="G221" s="60" t="s">
        <v>2266</v>
      </c>
    </row>
    <row r="222" spans="1:7" ht="14.25" customHeight="1">
      <c r="A222" s="45">
        <v>215</v>
      </c>
      <c r="B222" s="67" t="s">
        <v>2257</v>
      </c>
      <c r="C222" s="67" t="s">
        <v>2245</v>
      </c>
      <c r="D222" s="50" t="s">
        <v>1412</v>
      </c>
      <c r="E222" s="45" t="s">
        <v>1511</v>
      </c>
      <c r="F222" s="45" t="s">
        <v>1512</v>
      </c>
      <c r="G222" s="60" t="s">
        <v>2266</v>
      </c>
    </row>
    <row r="223" spans="1:7" ht="14.25" customHeight="1">
      <c r="A223" s="45">
        <v>216</v>
      </c>
      <c r="B223" s="50" t="s">
        <v>1480</v>
      </c>
      <c r="C223" s="50" t="s">
        <v>1554</v>
      </c>
      <c r="D223" s="50" t="s">
        <v>1412</v>
      </c>
      <c r="E223" s="45" t="s">
        <v>1511</v>
      </c>
      <c r="F223" s="45" t="s">
        <v>1512</v>
      </c>
      <c r="G223" s="45" t="s">
        <v>1484</v>
      </c>
    </row>
    <row r="224" spans="1:7" ht="14.25" customHeight="1">
      <c r="A224" s="45">
        <v>217</v>
      </c>
      <c r="B224" s="50" t="s">
        <v>1485</v>
      </c>
      <c r="C224" s="50" t="s">
        <v>1557</v>
      </c>
      <c r="D224" s="50" t="s">
        <v>1412</v>
      </c>
      <c r="E224" s="45" t="s">
        <v>1511</v>
      </c>
      <c r="F224" s="45" t="s">
        <v>1512</v>
      </c>
      <c r="G224" s="45" t="s">
        <v>1484</v>
      </c>
    </row>
    <row r="225" spans="1:7" ht="14.25" customHeight="1">
      <c r="A225" s="45">
        <v>218</v>
      </c>
      <c r="B225" s="50" t="s">
        <v>1555</v>
      </c>
      <c r="C225" s="50" t="s">
        <v>1556</v>
      </c>
      <c r="D225" s="50" t="s">
        <v>1412</v>
      </c>
      <c r="E225" s="45" t="s">
        <v>1511</v>
      </c>
      <c r="F225" s="45" t="s">
        <v>1512</v>
      </c>
      <c r="G225" s="45" t="s">
        <v>1369</v>
      </c>
    </row>
    <row r="226" spans="1:7" ht="14.25" customHeight="1">
      <c r="A226" s="45">
        <v>219</v>
      </c>
      <c r="B226" s="32" t="s">
        <v>1284</v>
      </c>
      <c r="C226" s="50" t="s">
        <v>1560</v>
      </c>
      <c r="D226" s="32" t="s">
        <v>1285</v>
      </c>
      <c r="E226" s="45" t="s">
        <v>1511</v>
      </c>
      <c r="F226" s="45" t="s">
        <v>1512</v>
      </c>
      <c r="G226" s="45" t="s">
        <v>1370</v>
      </c>
    </row>
    <row r="227" spans="1:7" ht="14.25" customHeight="1">
      <c r="A227" s="45">
        <v>220</v>
      </c>
      <c r="B227" s="54" t="s">
        <v>6662</v>
      </c>
      <c r="C227" s="183" t="s">
        <v>3274</v>
      </c>
      <c r="D227" s="54" t="s">
        <v>5146</v>
      </c>
      <c r="E227" s="45" t="s">
        <v>1511</v>
      </c>
      <c r="F227" s="45" t="s">
        <v>1512</v>
      </c>
      <c r="G227" s="45" t="s">
        <v>1370</v>
      </c>
    </row>
    <row r="228" spans="1:7" ht="14.25" customHeight="1">
      <c r="A228" s="45">
        <v>221</v>
      </c>
      <c r="B228" s="54" t="s">
        <v>3272</v>
      </c>
      <c r="C228" s="183" t="s">
        <v>3273</v>
      </c>
      <c r="D228" s="32" t="s">
        <v>1288</v>
      </c>
      <c r="E228" s="45" t="s">
        <v>1511</v>
      </c>
      <c r="F228" s="45" t="s">
        <v>1512</v>
      </c>
      <c r="G228" s="45" t="s">
        <v>1370</v>
      </c>
    </row>
    <row r="229" spans="1:7" ht="14.25" customHeight="1">
      <c r="A229" s="45">
        <v>222</v>
      </c>
      <c r="B229" s="54" t="s">
        <v>1666</v>
      </c>
      <c r="C229" s="50" t="s">
        <v>1561</v>
      </c>
      <c r="D229" s="32" t="s">
        <v>1289</v>
      </c>
      <c r="E229" s="45" t="s">
        <v>1511</v>
      </c>
      <c r="F229" s="45" t="s">
        <v>1512</v>
      </c>
      <c r="G229" s="45" t="s">
        <v>1370</v>
      </c>
    </row>
    <row r="230" spans="1:7" ht="14.25" customHeight="1">
      <c r="A230" s="45">
        <v>223</v>
      </c>
      <c r="B230" s="50" t="s">
        <v>1668</v>
      </c>
      <c r="C230" s="50" t="s">
        <v>1562</v>
      </c>
      <c r="D230" s="50" t="s">
        <v>1412</v>
      </c>
      <c r="E230" s="45" t="s">
        <v>1511</v>
      </c>
      <c r="F230" s="45" t="s">
        <v>1512</v>
      </c>
      <c r="G230" s="45" t="s">
        <v>1369</v>
      </c>
    </row>
    <row r="231" spans="1:7" ht="14.25" customHeight="1">
      <c r="A231" s="45">
        <v>224</v>
      </c>
      <c r="B231" s="67" t="s">
        <v>2259</v>
      </c>
      <c r="C231" s="67" t="s">
        <v>2247</v>
      </c>
      <c r="D231" s="50" t="s">
        <v>1412</v>
      </c>
      <c r="E231" s="45" t="s">
        <v>1511</v>
      </c>
      <c r="F231" s="45" t="s">
        <v>1512</v>
      </c>
      <c r="G231" s="60" t="s">
        <v>2266</v>
      </c>
    </row>
    <row r="232" spans="1:7" ht="14.25" customHeight="1">
      <c r="A232" s="45">
        <v>225</v>
      </c>
      <c r="B232" s="32" t="s">
        <v>1513</v>
      </c>
      <c r="C232" s="50" t="s">
        <v>1563</v>
      </c>
      <c r="D232" s="32" t="s">
        <v>1287</v>
      </c>
      <c r="E232" s="45" t="s">
        <v>1511</v>
      </c>
      <c r="F232" s="45" t="s">
        <v>1512</v>
      </c>
      <c r="G232" s="45" t="s">
        <v>1370</v>
      </c>
    </row>
    <row r="233" spans="1:7" ht="14.25" customHeight="1">
      <c r="A233" s="45">
        <v>226</v>
      </c>
      <c r="B233" s="255" t="s">
        <v>5621</v>
      </c>
      <c r="C233" s="255" t="s">
        <v>4203</v>
      </c>
      <c r="D233" s="254" t="s">
        <v>1412</v>
      </c>
      <c r="E233" s="45" t="s">
        <v>1511</v>
      </c>
      <c r="F233" s="45" t="s">
        <v>1512</v>
      </c>
      <c r="G233" s="45" t="s">
        <v>864</v>
      </c>
    </row>
    <row r="234" spans="1:7" ht="14.25" customHeight="1">
      <c r="A234" s="45">
        <v>227</v>
      </c>
      <c r="B234" s="255" t="s">
        <v>1656</v>
      </c>
      <c r="C234" s="254" t="s">
        <v>1568</v>
      </c>
      <c r="D234" s="254" t="s">
        <v>1412</v>
      </c>
      <c r="E234" s="45" t="s">
        <v>1511</v>
      </c>
      <c r="F234" s="45" t="s">
        <v>1512</v>
      </c>
      <c r="G234" s="45" t="s">
        <v>1486</v>
      </c>
    </row>
    <row r="235" spans="1:7" ht="14.25" customHeight="1">
      <c r="A235" s="45">
        <v>228</v>
      </c>
      <c r="B235" s="254" t="s">
        <v>1471</v>
      </c>
      <c r="C235" s="255" t="s">
        <v>5241</v>
      </c>
      <c r="D235" s="254" t="s">
        <v>1412</v>
      </c>
      <c r="E235" s="45" t="s">
        <v>1511</v>
      </c>
      <c r="F235" s="45" t="s">
        <v>1512</v>
      </c>
      <c r="G235" s="45" t="s">
        <v>1371</v>
      </c>
    </row>
    <row r="236" spans="1:7" ht="14.25" customHeight="1">
      <c r="A236" s="45">
        <v>229</v>
      </c>
      <c r="B236" s="255" t="s">
        <v>5622</v>
      </c>
      <c r="C236" s="255" t="s">
        <v>4204</v>
      </c>
      <c r="D236" s="259" t="s">
        <v>1509</v>
      </c>
      <c r="E236" s="45" t="s">
        <v>1511</v>
      </c>
      <c r="F236" s="45" t="s">
        <v>1512</v>
      </c>
      <c r="G236" s="174" t="s">
        <v>2008</v>
      </c>
    </row>
    <row r="237" spans="1:7" ht="14.25" customHeight="1">
      <c r="A237" s="45">
        <v>230</v>
      </c>
      <c r="B237" s="251" t="s">
        <v>1323</v>
      </c>
      <c r="C237" s="254" t="s">
        <v>1566</v>
      </c>
      <c r="D237" s="251" t="s">
        <v>1324</v>
      </c>
      <c r="E237" s="45" t="s">
        <v>1511</v>
      </c>
      <c r="F237" s="45" t="s">
        <v>1512</v>
      </c>
      <c r="G237" s="45" t="s">
        <v>871</v>
      </c>
    </row>
    <row r="238" spans="1:7" ht="14.25" customHeight="1">
      <c r="A238" s="45">
        <v>231</v>
      </c>
      <c r="B238" s="251" t="s">
        <v>1296</v>
      </c>
      <c r="C238" s="254" t="s">
        <v>1567</v>
      </c>
      <c r="D238" s="251" t="s">
        <v>1297</v>
      </c>
      <c r="E238" s="45" t="s">
        <v>1511</v>
      </c>
      <c r="F238" s="45" t="s">
        <v>1512</v>
      </c>
      <c r="G238" s="45" t="s">
        <v>1490</v>
      </c>
    </row>
    <row r="239" spans="1:7" ht="14.25" customHeight="1">
      <c r="A239" s="45">
        <v>232</v>
      </c>
      <c r="B239" s="254" t="s">
        <v>1347</v>
      </c>
      <c r="C239" s="254" t="s">
        <v>1570</v>
      </c>
      <c r="D239" s="254" t="s">
        <v>1412</v>
      </c>
      <c r="E239" s="45" t="s">
        <v>1511</v>
      </c>
      <c r="F239" s="45" t="s">
        <v>1512</v>
      </c>
      <c r="G239" s="45" t="s">
        <v>1371</v>
      </c>
    </row>
    <row r="240" spans="1:7" ht="14.25" customHeight="1">
      <c r="A240" s="45">
        <v>233</v>
      </c>
      <c r="B240" s="251" t="s">
        <v>1647</v>
      </c>
      <c r="C240" s="259" t="s">
        <v>2622</v>
      </c>
      <c r="D240" s="251" t="s">
        <v>1320</v>
      </c>
      <c r="E240" s="45" t="s">
        <v>1511</v>
      </c>
      <c r="F240" s="45" t="s">
        <v>1512</v>
      </c>
      <c r="G240" s="45" t="s">
        <v>871</v>
      </c>
    </row>
    <row r="241" spans="1:7" ht="14.25" customHeight="1">
      <c r="A241" s="45">
        <v>234</v>
      </c>
      <c r="B241" s="254" t="s">
        <v>2618</v>
      </c>
      <c r="C241" s="259" t="s">
        <v>2623</v>
      </c>
      <c r="D241" s="259" t="s">
        <v>2517</v>
      </c>
      <c r="E241" s="45" t="s">
        <v>1511</v>
      </c>
      <c r="F241" s="45" t="s">
        <v>1512</v>
      </c>
      <c r="G241" s="174" t="s">
        <v>2521</v>
      </c>
    </row>
    <row r="242" spans="1:7" ht="14.25" customHeight="1">
      <c r="A242" s="45">
        <v>235</v>
      </c>
      <c r="B242" s="260" t="s">
        <v>1651</v>
      </c>
      <c r="C242" s="254" t="s">
        <v>1573</v>
      </c>
      <c r="D242" s="251" t="s">
        <v>1309</v>
      </c>
      <c r="E242" s="45" t="s">
        <v>1511</v>
      </c>
      <c r="F242" s="45" t="s">
        <v>1512</v>
      </c>
      <c r="G242" s="45" t="s">
        <v>871</v>
      </c>
    </row>
    <row r="243" spans="1:7" ht="14.25" customHeight="1">
      <c r="A243" s="45">
        <v>236</v>
      </c>
      <c r="B243" s="261" t="s">
        <v>2272</v>
      </c>
      <c r="C243" s="261" t="s">
        <v>2274</v>
      </c>
      <c r="D243" s="254" t="s">
        <v>1412</v>
      </c>
      <c r="E243" s="45" t="s">
        <v>1511</v>
      </c>
      <c r="F243" s="45" t="s">
        <v>1512</v>
      </c>
      <c r="G243" s="60" t="s">
        <v>871</v>
      </c>
    </row>
    <row r="244" spans="1:7" ht="14.25" customHeight="1">
      <c r="A244" s="45">
        <v>237</v>
      </c>
      <c r="B244" s="251" t="s">
        <v>1304</v>
      </c>
      <c r="C244" s="254" t="s">
        <v>1574</v>
      </c>
      <c r="D244" s="251" t="s">
        <v>1305</v>
      </c>
      <c r="E244" s="45" t="s">
        <v>1511</v>
      </c>
      <c r="F244" s="45" t="s">
        <v>1512</v>
      </c>
      <c r="G244" s="45" t="s">
        <v>871</v>
      </c>
    </row>
    <row r="245" spans="1:7" ht="14.25" customHeight="1">
      <c r="A245" s="45">
        <v>238</v>
      </c>
      <c r="B245" s="260" t="s">
        <v>6663</v>
      </c>
      <c r="C245" s="254" t="s">
        <v>1575</v>
      </c>
      <c r="D245" s="251" t="s">
        <v>1299</v>
      </c>
      <c r="E245" s="45" t="s">
        <v>1511</v>
      </c>
      <c r="F245" s="45" t="s">
        <v>1512</v>
      </c>
      <c r="G245" s="45" t="s">
        <v>1488</v>
      </c>
    </row>
    <row r="246" spans="1:7" ht="14.25" customHeight="1">
      <c r="A246" s="45">
        <v>239</v>
      </c>
      <c r="B246" s="251" t="s">
        <v>1317</v>
      </c>
      <c r="C246" s="254" t="s">
        <v>1576</v>
      </c>
      <c r="D246" s="251" t="s">
        <v>1318</v>
      </c>
      <c r="E246" s="45" t="s">
        <v>1511</v>
      </c>
      <c r="F246" s="45" t="s">
        <v>1512</v>
      </c>
      <c r="G246" s="45" t="s">
        <v>871</v>
      </c>
    </row>
    <row r="247" spans="1:7" ht="14.25" customHeight="1">
      <c r="A247" s="45">
        <v>240</v>
      </c>
      <c r="B247" s="251" t="s">
        <v>1312</v>
      </c>
      <c r="C247" s="254" t="s">
        <v>1577</v>
      </c>
      <c r="D247" s="251" t="s">
        <v>1313</v>
      </c>
      <c r="E247" s="45" t="s">
        <v>1511</v>
      </c>
      <c r="F247" s="45" t="s">
        <v>1512</v>
      </c>
      <c r="G247" s="45" t="s">
        <v>871</v>
      </c>
    </row>
    <row r="248" spans="1:7" ht="14.25" customHeight="1">
      <c r="A248" s="45">
        <v>241</v>
      </c>
      <c r="B248" s="254" t="s">
        <v>1578</v>
      </c>
      <c r="C248" s="254" t="s">
        <v>1579</v>
      </c>
      <c r="D248" s="254" t="s">
        <v>1412</v>
      </c>
      <c r="E248" s="45" t="s">
        <v>1511</v>
      </c>
      <c r="F248" s="45" t="s">
        <v>1512</v>
      </c>
      <c r="G248" s="45" t="s">
        <v>1486</v>
      </c>
    </row>
    <row r="249" spans="1:7" ht="14.25" customHeight="1">
      <c r="A249" s="45">
        <v>242</v>
      </c>
      <c r="B249" s="263" t="s">
        <v>2742</v>
      </c>
      <c r="C249" s="259" t="s">
        <v>2739</v>
      </c>
      <c r="D249" s="259" t="s">
        <v>2733</v>
      </c>
      <c r="E249" s="19" t="s">
        <v>2734</v>
      </c>
      <c r="F249" s="19" t="s">
        <v>2740</v>
      </c>
      <c r="G249" s="174" t="s">
        <v>2741</v>
      </c>
    </row>
    <row r="250" spans="1:7" ht="14.25" customHeight="1">
      <c r="A250" s="45">
        <v>243</v>
      </c>
      <c r="B250" s="254" t="s">
        <v>1463</v>
      </c>
      <c r="C250" s="254" t="s">
        <v>1580</v>
      </c>
      <c r="D250" s="254" t="s">
        <v>1412</v>
      </c>
      <c r="E250" s="45" t="s">
        <v>1511</v>
      </c>
      <c r="F250" s="45" t="s">
        <v>1512</v>
      </c>
      <c r="G250" s="45" t="s">
        <v>1486</v>
      </c>
    </row>
    <row r="251" spans="1:7" ht="14.25" customHeight="1">
      <c r="A251" s="45">
        <v>244</v>
      </c>
      <c r="B251" s="254" t="s">
        <v>1473</v>
      </c>
      <c r="C251" s="254" t="s">
        <v>1581</v>
      </c>
      <c r="D251" s="254" t="s">
        <v>1412</v>
      </c>
      <c r="E251" s="45" t="s">
        <v>1511</v>
      </c>
      <c r="F251" s="45" t="s">
        <v>1512</v>
      </c>
      <c r="G251" s="45" t="s">
        <v>1371</v>
      </c>
    </row>
    <row r="252" spans="1:7" ht="14.25" customHeight="1">
      <c r="A252" s="45">
        <v>245</v>
      </c>
      <c r="B252" s="251" t="s">
        <v>1310</v>
      </c>
      <c r="C252" s="254" t="s">
        <v>1582</v>
      </c>
      <c r="D252" s="251" t="s">
        <v>1311</v>
      </c>
      <c r="E252" s="45" t="s">
        <v>1511</v>
      </c>
      <c r="F252" s="45" t="s">
        <v>1512</v>
      </c>
      <c r="G252" s="45" t="s">
        <v>871</v>
      </c>
    </row>
    <row r="253" spans="1:7" ht="14.25" customHeight="1">
      <c r="A253" s="45">
        <v>246</v>
      </c>
      <c r="B253" s="251" t="s">
        <v>1300</v>
      </c>
      <c r="C253" s="254" t="s">
        <v>1583</v>
      </c>
      <c r="D253" s="251" t="s">
        <v>1301</v>
      </c>
      <c r="E253" s="45" t="s">
        <v>1511</v>
      </c>
      <c r="F253" s="45" t="s">
        <v>1512</v>
      </c>
      <c r="G253" s="45" t="s">
        <v>871</v>
      </c>
    </row>
    <row r="254" spans="1:7" ht="14.25" customHeight="1">
      <c r="A254" s="45">
        <v>247</v>
      </c>
      <c r="B254" s="261" t="s">
        <v>2269</v>
      </c>
      <c r="C254" s="261" t="s">
        <v>2270</v>
      </c>
      <c r="D254" s="254" t="s">
        <v>1412</v>
      </c>
      <c r="E254" s="45" t="s">
        <v>1511</v>
      </c>
      <c r="F254" s="45" t="s">
        <v>1512</v>
      </c>
      <c r="G254" s="60" t="s">
        <v>2277</v>
      </c>
    </row>
    <row r="255" spans="1:7" ht="14.25" customHeight="1">
      <c r="A255" s="45">
        <v>248</v>
      </c>
      <c r="B255" s="251" t="s">
        <v>1321</v>
      </c>
      <c r="C255" s="254" t="s">
        <v>1584</v>
      </c>
      <c r="D255" s="251" t="s">
        <v>1322</v>
      </c>
      <c r="E255" s="45" t="s">
        <v>1511</v>
      </c>
      <c r="F255" s="45" t="s">
        <v>1512</v>
      </c>
      <c r="G255" s="45" t="s">
        <v>871</v>
      </c>
    </row>
    <row r="256" spans="1:7" ht="14.25" customHeight="1">
      <c r="A256" s="45">
        <v>249</v>
      </c>
      <c r="B256" s="254" t="s">
        <v>1350</v>
      </c>
      <c r="C256" s="255" t="s">
        <v>5243</v>
      </c>
      <c r="D256" s="254" t="s">
        <v>1412</v>
      </c>
      <c r="E256" s="45" t="s">
        <v>1511</v>
      </c>
      <c r="F256" s="45" t="s">
        <v>1512</v>
      </c>
      <c r="G256" s="45" t="s">
        <v>1371</v>
      </c>
    </row>
    <row r="257" spans="1:7" ht="14.25" customHeight="1">
      <c r="A257" s="45">
        <v>250</v>
      </c>
      <c r="B257" s="254" t="s">
        <v>1352</v>
      </c>
      <c r="C257" s="254" t="s">
        <v>1586</v>
      </c>
      <c r="D257" s="254" t="s">
        <v>1412</v>
      </c>
      <c r="E257" s="45" t="s">
        <v>1511</v>
      </c>
      <c r="F257" s="45" t="s">
        <v>1512</v>
      </c>
      <c r="G257" s="45" t="s">
        <v>1371</v>
      </c>
    </row>
    <row r="258" spans="1:7" ht="14.25" customHeight="1">
      <c r="A258" s="45">
        <v>251</v>
      </c>
      <c r="B258" s="254" t="s">
        <v>1464</v>
      </c>
      <c r="C258" s="255" t="s">
        <v>5242</v>
      </c>
      <c r="D258" s="254" t="s">
        <v>1412</v>
      </c>
      <c r="E258" s="45" t="s">
        <v>1511</v>
      </c>
      <c r="F258" s="45" t="s">
        <v>1512</v>
      </c>
      <c r="G258" s="45" t="s">
        <v>1486</v>
      </c>
    </row>
    <row r="259" spans="1:7" ht="14.25" customHeight="1">
      <c r="A259" s="45">
        <v>252</v>
      </c>
      <c r="B259" s="254" t="s">
        <v>1351</v>
      </c>
      <c r="C259" s="254" t="s">
        <v>1587</v>
      </c>
      <c r="D259" s="254" t="s">
        <v>1412</v>
      </c>
      <c r="E259" s="45" t="s">
        <v>1511</v>
      </c>
      <c r="F259" s="45" t="s">
        <v>1512</v>
      </c>
      <c r="G259" s="45" t="s">
        <v>1488</v>
      </c>
    </row>
    <row r="260" spans="1:7" ht="14.25" customHeight="1">
      <c r="A260" s="45">
        <v>253</v>
      </c>
      <c r="B260" s="261" t="s">
        <v>2275</v>
      </c>
      <c r="C260" s="255" t="s">
        <v>5244</v>
      </c>
      <c r="D260" s="261" t="s">
        <v>2288</v>
      </c>
      <c r="E260" s="45" t="s">
        <v>1511</v>
      </c>
      <c r="F260" s="45" t="s">
        <v>1512</v>
      </c>
      <c r="G260" s="60" t="s">
        <v>2278</v>
      </c>
    </row>
    <row r="261" spans="1:7" ht="14.25" customHeight="1">
      <c r="A261" s="45">
        <v>254</v>
      </c>
      <c r="B261" s="255" t="s">
        <v>6705</v>
      </c>
      <c r="C261" s="255" t="s">
        <v>6706</v>
      </c>
      <c r="D261" s="261" t="s">
        <v>1510</v>
      </c>
      <c r="E261" s="45" t="s">
        <v>1511</v>
      </c>
      <c r="F261" s="45" t="s">
        <v>1512</v>
      </c>
      <c r="G261" s="60" t="s">
        <v>2002</v>
      </c>
    </row>
    <row r="262" spans="1:7" ht="14.25" customHeight="1">
      <c r="A262" s="45">
        <v>255</v>
      </c>
      <c r="B262" s="254" t="s">
        <v>1462</v>
      </c>
      <c r="C262" s="254" t="s">
        <v>1588</v>
      </c>
      <c r="D262" s="251" t="s">
        <v>1590</v>
      </c>
      <c r="E262" s="45" t="s">
        <v>1511</v>
      </c>
      <c r="F262" s="45" t="s">
        <v>1512</v>
      </c>
      <c r="G262" s="45" t="s">
        <v>1486</v>
      </c>
    </row>
    <row r="263" spans="1:7" ht="14.25" customHeight="1">
      <c r="A263" s="45">
        <v>256</v>
      </c>
      <c r="B263" s="251" t="s">
        <v>1315</v>
      </c>
      <c r="C263" s="254" t="s">
        <v>1589</v>
      </c>
      <c r="D263" s="260" t="s">
        <v>6062</v>
      </c>
      <c r="E263" s="45" t="s">
        <v>1511</v>
      </c>
      <c r="F263" s="45" t="s">
        <v>1512</v>
      </c>
      <c r="G263" s="45" t="s">
        <v>871</v>
      </c>
    </row>
    <row r="264" spans="1:7" ht="14.25" customHeight="1">
      <c r="A264" s="45">
        <v>257</v>
      </c>
      <c r="B264" s="71" t="s">
        <v>2279</v>
      </c>
      <c r="C264" s="51" t="s">
        <v>2280</v>
      </c>
      <c r="D264" s="71" t="s">
        <v>1509</v>
      </c>
      <c r="E264" s="45" t="s">
        <v>1511</v>
      </c>
      <c r="F264" s="45" t="s">
        <v>1512</v>
      </c>
      <c r="G264" s="60" t="s">
        <v>2287</v>
      </c>
    </row>
    <row r="265" spans="1:7" ht="14.25" customHeight="1">
      <c r="A265" s="45">
        <v>258</v>
      </c>
      <c r="B265" s="265" t="s">
        <v>4233</v>
      </c>
      <c r="C265" s="265" t="s">
        <v>4234</v>
      </c>
      <c r="D265" s="51" t="s">
        <v>1412</v>
      </c>
      <c r="E265" s="45" t="s">
        <v>1511</v>
      </c>
      <c r="F265" s="45" t="s">
        <v>1512</v>
      </c>
      <c r="G265" s="45" t="s">
        <v>1372</v>
      </c>
    </row>
    <row r="266" spans="1:7" ht="14.25" customHeight="1">
      <c r="A266" s="45">
        <v>259</v>
      </c>
      <c r="B266" s="672" t="s">
        <v>6659</v>
      </c>
      <c r="C266" s="672" t="s">
        <v>6658</v>
      </c>
      <c r="D266" s="673" t="s">
        <v>1510</v>
      </c>
      <c r="E266" s="19" t="s">
        <v>4005</v>
      </c>
      <c r="F266" s="19" t="s">
        <v>2740</v>
      </c>
      <c r="G266" s="19" t="s">
        <v>6682</v>
      </c>
    </row>
    <row r="267" spans="1:7" ht="14.25" customHeight="1">
      <c r="A267" s="45">
        <v>260</v>
      </c>
      <c r="B267" s="71" t="s">
        <v>2281</v>
      </c>
      <c r="C267" s="51" t="s">
        <v>2196</v>
      </c>
      <c r="D267" s="51" t="s">
        <v>1412</v>
      </c>
      <c r="E267" s="45" t="s">
        <v>1511</v>
      </c>
      <c r="F267" s="45" t="s">
        <v>1512</v>
      </c>
      <c r="G267" s="60" t="s">
        <v>2287</v>
      </c>
    </row>
    <row r="268" spans="1:7" ht="14.25" customHeight="1">
      <c r="A268" s="45">
        <v>261</v>
      </c>
      <c r="B268" s="265" t="s">
        <v>1592</v>
      </c>
      <c r="C268" s="265" t="s">
        <v>6040</v>
      </c>
      <c r="D268" s="51" t="s">
        <v>1412</v>
      </c>
      <c r="E268" s="45" t="s">
        <v>1511</v>
      </c>
      <c r="F268" s="45" t="s">
        <v>1512</v>
      </c>
      <c r="G268" s="45" t="s">
        <v>1372</v>
      </c>
    </row>
    <row r="269" spans="1:7" ht="14.25" customHeight="1">
      <c r="A269" s="45">
        <v>262</v>
      </c>
      <c r="B269" s="265" t="s">
        <v>6039</v>
      </c>
      <c r="C269" s="265" t="s">
        <v>6041</v>
      </c>
      <c r="D269" s="51" t="s">
        <v>1412</v>
      </c>
      <c r="E269" s="45" t="s">
        <v>1511</v>
      </c>
      <c r="F269" s="45" t="s">
        <v>1512</v>
      </c>
      <c r="G269" s="45" t="s">
        <v>1372</v>
      </c>
    </row>
    <row r="270" spans="1:7" ht="14.25" customHeight="1">
      <c r="A270" s="45">
        <v>263</v>
      </c>
      <c r="B270" s="674" t="s">
        <v>6666</v>
      </c>
      <c r="C270" s="674" t="s">
        <v>6665</v>
      </c>
      <c r="D270" s="673" t="s">
        <v>1510</v>
      </c>
      <c r="E270" s="19" t="s">
        <v>4005</v>
      </c>
      <c r="F270" s="19" t="s">
        <v>2740</v>
      </c>
      <c r="G270" s="19" t="s">
        <v>6683</v>
      </c>
    </row>
    <row r="271" spans="1:7" ht="14.25" customHeight="1">
      <c r="A271" s="45">
        <v>264</v>
      </c>
      <c r="B271" s="70" t="s">
        <v>2283</v>
      </c>
      <c r="C271" s="71" t="s">
        <v>2282</v>
      </c>
      <c r="D271" s="51" t="s">
        <v>1412</v>
      </c>
      <c r="E271" s="45" t="s">
        <v>1511</v>
      </c>
      <c r="F271" s="45" t="s">
        <v>1512</v>
      </c>
      <c r="G271" s="60" t="s">
        <v>1372</v>
      </c>
    </row>
    <row r="272" spans="1:7" ht="14.25" customHeight="1">
      <c r="A272" s="45">
        <v>265</v>
      </c>
      <c r="B272" s="44" t="s">
        <v>1476</v>
      </c>
      <c r="C272" s="44" t="s">
        <v>1599</v>
      </c>
      <c r="D272" s="44" t="s">
        <v>1412</v>
      </c>
      <c r="E272" s="45" t="s">
        <v>1511</v>
      </c>
      <c r="F272" s="45" t="s">
        <v>1512</v>
      </c>
      <c r="G272" s="45" t="s">
        <v>1373</v>
      </c>
    </row>
    <row r="273" spans="1:7" ht="14.25" customHeight="1">
      <c r="A273" s="45">
        <v>266</v>
      </c>
      <c r="B273" s="56" t="s">
        <v>2020</v>
      </c>
      <c r="C273" s="44" t="s">
        <v>1603</v>
      </c>
      <c r="D273" s="44" t="s">
        <v>1607</v>
      </c>
      <c r="E273" s="45" t="s">
        <v>1511</v>
      </c>
      <c r="F273" s="45" t="s">
        <v>1512</v>
      </c>
      <c r="G273" s="45" t="s">
        <v>1373</v>
      </c>
    </row>
    <row r="274" spans="1:7" ht="14.25" customHeight="1">
      <c r="A274" s="45">
        <v>267</v>
      </c>
      <c r="B274" s="30" t="s">
        <v>523</v>
      </c>
      <c r="C274" s="44" t="s">
        <v>1604</v>
      </c>
      <c r="D274" s="30" t="s">
        <v>1338</v>
      </c>
      <c r="E274" s="45" t="s">
        <v>1511</v>
      </c>
      <c r="F274" s="45" t="s">
        <v>1512</v>
      </c>
      <c r="G274" s="45" t="s">
        <v>96</v>
      </c>
    </row>
    <row r="275" spans="1:7" ht="14.25" customHeight="1">
      <c r="A275" s="45">
        <v>268</v>
      </c>
      <c r="B275" s="667" t="s">
        <v>6654</v>
      </c>
      <c r="C275" s="667" t="s">
        <v>6655</v>
      </c>
      <c r="D275" s="668" t="s">
        <v>1510</v>
      </c>
      <c r="E275" s="19" t="s">
        <v>4005</v>
      </c>
      <c r="F275" s="19" t="s">
        <v>2740</v>
      </c>
      <c r="G275" s="19" t="s">
        <v>6680</v>
      </c>
    </row>
    <row r="276" spans="1:7" ht="14.25" customHeight="1">
      <c r="A276" s="45">
        <v>269</v>
      </c>
      <c r="B276" s="30" t="s">
        <v>1336</v>
      </c>
      <c r="C276" s="44" t="s">
        <v>1605</v>
      </c>
      <c r="D276" s="30" t="s">
        <v>1606</v>
      </c>
      <c r="E276" s="45" t="s">
        <v>1511</v>
      </c>
      <c r="F276" s="45" t="s">
        <v>1512</v>
      </c>
      <c r="G276" s="45" t="s">
        <v>96</v>
      </c>
    </row>
    <row r="277" spans="1:7" ht="14.25" customHeight="1">
      <c r="A277" s="45">
        <v>270</v>
      </c>
      <c r="B277" s="30" t="s">
        <v>506</v>
      </c>
      <c r="C277" s="44" t="s">
        <v>1608</v>
      </c>
      <c r="D277" s="57" t="s">
        <v>5156</v>
      </c>
      <c r="E277" s="45" t="s">
        <v>1511</v>
      </c>
      <c r="F277" s="45" t="s">
        <v>1512</v>
      </c>
      <c r="G277" s="45" t="s">
        <v>96</v>
      </c>
    </row>
    <row r="278" spans="1:7" ht="14.25" customHeight="1">
      <c r="A278" s="45">
        <v>271</v>
      </c>
      <c r="B278" s="179" t="s">
        <v>1500</v>
      </c>
      <c r="C278" s="44" t="s">
        <v>1609</v>
      </c>
      <c r="D278" s="30" t="s">
        <v>1335</v>
      </c>
      <c r="E278" s="45" t="s">
        <v>1511</v>
      </c>
      <c r="F278" s="45" t="s">
        <v>1512</v>
      </c>
      <c r="G278" s="45" t="s">
        <v>1373</v>
      </c>
    </row>
    <row r="279" spans="1:7" ht="14.25" customHeight="1">
      <c r="A279" s="45">
        <v>272</v>
      </c>
      <c r="B279" s="62" t="s">
        <v>2035</v>
      </c>
      <c r="C279" s="44" t="s">
        <v>1610</v>
      </c>
      <c r="D279" s="44" t="s">
        <v>1412</v>
      </c>
      <c r="E279" s="45" t="s">
        <v>1511</v>
      </c>
      <c r="F279" s="45" t="s">
        <v>1512</v>
      </c>
      <c r="G279" s="45" t="s">
        <v>1373</v>
      </c>
    </row>
    <row r="280" spans="1:7" ht="14.25" customHeight="1">
      <c r="A280" s="45">
        <v>273</v>
      </c>
      <c r="B280" s="62" t="s">
        <v>1660</v>
      </c>
      <c r="C280" s="44" t="s">
        <v>1614</v>
      </c>
      <c r="D280" s="44" t="s">
        <v>1412</v>
      </c>
      <c r="E280" s="45" t="s">
        <v>1511</v>
      </c>
      <c r="F280" s="45" t="s">
        <v>1512</v>
      </c>
      <c r="G280" s="45" t="s">
        <v>1373</v>
      </c>
    </row>
    <row r="281" spans="1:7" ht="14.25" customHeight="1">
      <c r="A281" s="45">
        <v>274</v>
      </c>
      <c r="B281" s="56" t="s">
        <v>1659</v>
      </c>
      <c r="C281" s="44" t="s">
        <v>1615</v>
      </c>
      <c r="D281" s="44" t="s">
        <v>1412</v>
      </c>
      <c r="E281" s="45" t="s">
        <v>1511</v>
      </c>
      <c r="F281" s="45" t="s">
        <v>1512</v>
      </c>
      <c r="G281" s="45" t="s">
        <v>1373</v>
      </c>
    </row>
    <row r="282" spans="1:7" ht="14.25" customHeight="1">
      <c r="A282" s="45">
        <v>275</v>
      </c>
      <c r="B282" s="56" t="s">
        <v>1662</v>
      </c>
      <c r="C282" s="44" t="s">
        <v>1616</v>
      </c>
      <c r="D282" s="44" t="s">
        <v>1412</v>
      </c>
      <c r="E282" s="45" t="s">
        <v>1511</v>
      </c>
      <c r="F282" s="45" t="s">
        <v>1512</v>
      </c>
      <c r="G282" s="45" t="s">
        <v>1478</v>
      </c>
    </row>
    <row r="283" spans="1:7" ht="14.25" customHeight="1">
      <c r="A283" s="45">
        <v>276</v>
      </c>
      <c r="B283" s="44" t="s">
        <v>1496</v>
      </c>
      <c r="C283" s="44" t="s">
        <v>1617</v>
      </c>
      <c r="D283" s="44" t="s">
        <v>1412</v>
      </c>
      <c r="E283" s="45" t="s">
        <v>1511</v>
      </c>
      <c r="F283" s="45" t="s">
        <v>1512</v>
      </c>
      <c r="G283" s="45" t="s">
        <v>1373</v>
      </c>
    </row>
    <row r="284" spans="1:7" ht="14.25" customHeight="1">
      <c r="A284" s="45">
        <v>277</v>
      </c>
      <c r="B284" s="56" t="s">
        <v>5625</v>
      </c>
      <c r="C284" s="44" t="s">
        <v>1618</v>
      </c>
      <c r="D284" s="44" t="s">
        <v>1412</v>
      </c>
      <c r="E284" s="45" t="s">
        <v>1511</v>
      </c>
      <c r="F284" s="45" t="s">
        <v>1512</v>
      </c>
      <c r="G284" s="45" t="s">
        <v>1373</v>
      </c>
    </row>
    <row r="285" spans="1:7" ht="14.25" customHeight="1">
      <c r="A285" s="45">
        <v>278</v>
      </c>
      <c r="B285" s="44" t="s">
        <v>1497</v>
      </c>
      <c r="C285" s="44" t="s">
        <v>1619</v>
      </c>
      <c r="D285" s="44" t="s">
        <v>1412</v>
      </c>
      <c r="E285" s="45" t="s">
        <v>1511</v>
      </c>
      <c r="F285" s="45" t="s">
        <v>1512</v>
      </c>
      <c r="G285" s="45" t="s">
        <v>1373</v>
      </c>
    </row>
    <row r="286" spans="1:7" ht="14.25" customHeight="1">
      <c r="A286" s="45">
        <v>279</v>
      </c>
      <c r="B286" s="44" t="s">
        <v>1498</v>
      </c>
      <c r="C286" s="44" t="s">
        <v>1620</v>
      </c>
      <c r="D286" s="44" t="s">
        <v>1412</v>
      </c>
      <c r="E286" s="45" t="s">
        <v>1511</v>
      </c>
      <c r="F286" s="45" t="s">
        <v>1512</v>
      </c>
      <c r="G286" s="45" t="s">
        <v>1373</v>
      </c>
    </row>
    <row r="287" spans="1:7" ht="14.25" customHeight="1">
      <c r="A287" s="45">
        <v>280</v>
      </c>
      <c r="B287" s="44" t="s">
        <v>518</v>
      </c>
      <c r="C287" s="44" t="s">
        <v>1621</v>
      </c>
      <c r="D287" s="44" t="s">
        <v>1412</v>
      </c>
      <c r="E287" s="45" t="s">
        <v>1511</v>
      </c>
      <c r="F287" s="45" t="s">
        <v>1512</v>
      </c>
      <c r="G287" s="45" t="s">
        <v>1373</v>
      </c>
    </row>
    <row r="288" spans="1:7" ht="14.25" customHeight="1">
      <c r="A288" s="45">
        <v>281</v>
      </c>
      <c r="B288" s="667" t="s">
        <v>6661</v>
      </c>
      <c r="C288" s="667" t="s">
        <v>6660</v>
      </c>
      <c r="D288" s="668" t="s">
        <v>1510</v>
      </c>
      <c r="E288" s="19" t="s">
        <v>4005</v>
      </c>
      <c r="F288" s="19" t="s">
        <v>2740</v>
      </c>
      <c r="G288" s="19" t="s">
        <v>6680</v>
      </c>
    </row>
    <row r="289" spans="1:7" ht="14.25" customHeight="1">
      <c r="A289" s="45">
        <v>282</v>
      </c>
      <c r="B289" s="44" t="s">
        <v>1622</v>
      </c>
      <c r="C289" s="44" t="s">
        <v>1623</v>
      </c>
      <c r="D289" s="44" t="s">
        <v>1412</v>
      </c>
      <c r="E289" s="45" t="s">
        <v>1511</v>
      </c>
      <c r="F289" s="45" t="s">
        <v>1512</v>
      </c>
      <c r="G289" s="45" t="s">
        <v>1373</v>
      </c>
    </row>
    <row r="290" spans="1:7" ht="14.25" customHeight="1">
      <c r="A290" s="45">
        <v>283</v>
      </c>
      <c r="B290" s="62" t="s">
        <v>2033</v>
      </c>
      <c r="C290" s="44" t="s">
        <v>1634</v>
      </c>
      <c r="D290" s="44" t="s">
        <v>1412</v>
      </c>
      <c r="E290" s="45" t="s">
        <v>1511</v>
      </c>
      <c r="F290" s="45" t="s">
        <v>1512</v>
      </c>
      <c r="G290" s="45" t="s">
        <v>1373</v>
      </c>
    </row>
    <row r="291" spans="1:7" ht="14.25" customHeight="1">
      <c r="A291" s="45">
        <v>284</v>
      </c>
      <c r="B291" s="44" t="s">
        <v>1502</v>
      </c>
      <c r="C291" s="44" t="s">
        <v>1633</v>
      </c>
      <c r="D291" s="44" t="s">
        <v>1412</v>
      </c>
      <c r="E291" s="45" t="s">
        <v>1511</v>
      </c>
      <c r="F291" s="45" t="s">
        <v>1512</v>
      </c>
      <c r="G291" s="45" t="s">
        <v>1373</v>
      </c>
    </row>
    <row r="292" spans="1:7" ht="14.25" customHeight="1">
      <c r="A292" s="45">
        <v>285</v>
      </c>
      <c r="B292" s="62" t="s">
        <v>2034</v>
      </c>
      <c r="C292" s="44" t="s">
        <v>1635</v>
      </c>
      <c r="D292" s="44" t="s">
        <v>1412</v>
      </c>
      <c r="E292" s="45" t="s">
        <v>1511</v>
      </c>
      <c r="F292" s="45" t="s">
        <v>1512</v>
      </c>
      <c r="G292" s="45" t="s">
        <v>1373</v>
      </c>
    </row>
    <row r="293" spans="1:7" ht="14.25" customHeight="1">
      <c r="A293" s="45">
        <v>286</v>
      </c>
      <c r="B293" s="56" t="s">
        <v>5626</v>
      </c>
      <c r="C293" s="56" t="s">
        <v>5245</v>
      </c>
      <c r="D293" s="44" t="s">
        <v>1412</v>
      </c>
      <c r="E293" s="45" t="s">
        <v>1511</v>
      </c>
      <c r="F293" s="45" t="s">
        <v>1512</v>
      </c>
      <c r="G293" s="45" t="s">
        <v>1373</v>
      </c>
    </row>
    <row r="294" spans="1:7" ht="14.25" customHeight="1">
      <c r="A294" s="45">
        <v>287</v>
      </c>
      <c r="B294" s="56" t="s">
        <v>1661</v>
      </c>
      <c r="C294" s="44" t="s">
        <v>1636</v>
      </c>
      <c r="D294" s="44" t="s">
        <v>1412</v>
      </c>
      <c r="E294" s="45" t="s">
        <v>1511</v>
      </c>
      <c r="F294" s="19" t="s">
        <v>6675</v>
      </c>
      <c r="G294" s="45" t="s">
        <v>1373</v>
      </c>
    </row>
    <row r="295" spans="1:7" ht="14.25" customHeight="1">
      <c r="A295" s="45">
        <v>288</v>
      </c>
      <c r="B295" s="63" t="s">
        <v>2037</v>
      </c>
      <c r="C295" s="44" t="s">
        <v>1637</v>
      </c>
      <c r="D295" s="30" t="s">
        <v>1329</v>
      </c>
      <c r="E295" s="45" t="s">
        <v>1511</v>
      </c>
      <c r="F295" s="45" t="s">
        <v>1512</v>
      </c>
      <c r="G295" s="45" t="s">
        <v>1478</v>
      </c>
    </row>
    <row r="296" spans="1:7" ht="14.25" customHeight="1">
      <c r="A296" s="45">
        <v>289</v>
      </c>
      <c r="B296" s="44" t="s">
        <v>1499</v>
      </c>
      <c r="C296" s="44" t="s">
        <v>1638</v>
      </c>
      <c r="D296" s="44" t="s">
        <v>1412</v>
      </c>
      <c r="E296" s="45" t="s">
        <v>1511</v>
      </c>
      <c r="F296" s="45" t="s">
        <v>1512</v>
      </c>
      <c r="G296" s="45" t="s">
        <v>1373</v>
      </c>
    </row>
    <row r="297" spans="1:7" ht="14.25" customHeight="1">
      <c r="A297" s="45">
        <v>290</v>
      </c>
      <c r="B297" s="44" t="s">
        <v>1501</v>
      </c>
      <c r="C297" s="44" t="s">
        <v>1639</v>
      </c>
      <c r="D297" s="44" t="s">
        <v>1412</v>
      </c>
      <c r="E297" s="45" t="s">
        <v>1511</v>
      </c>
      <c r="F297" s="45" t="s">
        <v>1512</v>
      </c>
      <c r="G297" s="45" t="s">
        <v>1373</v>
      </c>
    </row>
    <row r="298" spans="1:7" ht="14.25" customHeight="1">
      <c r="A298" s="45">
        <v>291</v>
      </c>
      <c r="B298" s="62" t="s">
        <v>1493</v>
      </c>
      <c r="C298" s="44" t="s">
        <v>1640</v>
      </c>
      <c r="D298" s="44" t="s">
        <v>1412</v>
      </c>
      <c r="E298" s="45" t="s">
        <v>1511</v>
      </c>
      <c r="F298" s="45" t="s">
        <v>1512</v>
      </c>
      <c r="G298" s="45" t="s">
        <v>1373</v>
      </c>
    </row>
    <row r="299" spans="1:7" ht="14.25" customHeight="1">
      <c r="A299" s="45">
        <v>292</v>
      </c>
      <c r="B299" s="56" t="s">
        <v>5627</v>
      </c>
      <c r="C299" s="56" t="s">
        <v>5247</v>
      </c>
      <c r="D299" s="44" t="s">
        <v>1412</v>
      </c>
      <c r="E299" s="45" t="s">
        <v>1511</v>
      </c>
      <c r="F299" s="45" t="s">
        <v>1512</v>
      </c>
      <c r="G299" s="45" t="s">
        <v>1373</v>
      </c>
    </row>
    <row r="300" spans="1:7" ht="14.25" customHeight="1">
      <c r="A300" s="45">
        <v>293</v>
      </c>
      <c r="B300" s="44" t="s">
        <v>1494</v>
      </c>
      <c r="C300" s="56" t="s">
        <v>5246</v>
      </c>
      <c r="D300" s="44" t="s">
        <v>1412</v>
      </c>
      <c r="E300" s="45" t="s">
        <v>1511</v>
      </c>
      <c r="F300" s="45" t="s">
        <v>1512</v>
      </c>
      <c r="G300" s="45" t="s">
        <v>1373</v>
      </c>
    </row>
    <row r="301" spans="1:7" ht="14.25" customHeight="1">
      <c r="A301" s="45">
        <v>294</v>
      </c>
      <c r="B301" s="62" t="s">
        <v>2036</v>
      </c>
      <c r="C301" s="44" t="s">
        <v>1641</v>
      </c>
      <c r="D301" s="44" t="s">
        <v>1412</v>
      </c>
      <c r="E301" s="45" t="s">
        <v>1511</v>
      </c>
      <c r="F301" s="45" t="s">
        <v>1512</v>
      </c>
      <c r="G301" s="45" t="s">
        <v>1373</v>
      </c>
    </row>
    <row r="302" spans="1:7" ht="14.25" customHeight="1">
      <c r="A302" s="45">
        <v>295</v>
      </c>
      <c r="B302" s="44" t="s">
        <v>1495</v>
      </c>
      <c r="C302" s="44" t="s">
        <v>1642</v>
      </c>
      <c r="D302" s="44" t="s">
        <v>1412</v>
      </c>
      <c r="E302" s="45" t="s">
        <v>1511</v>
      </c>
      <c r="F302" s="45" t="s">
        <v>1512</v>
      </c>
      <c r="G302" s="45" t="s">
        <v>1373</v>
      </c>
    </row>
    <row r="303" spans="1:7" ht="14.25" customHeight="1">
      <c r="A303" s="45">
        <v>296</v>
      </c>
      <c r="B303" s="30" t="s">
        <v>1627</v>
      </c>
      <c r="C303" s="44" t="s">
        <v>1629</v>
      </c>
      <c r="D303" s="30" t="s">
        <v>1341</v>
      </c>
      <c r="E303" s="45" t="s">
        <v>1511</v>
      </c>
      <c r="F303" s="45" t="s">
        <v>1512</v>
      </c>
      <c r="G303" s="45" t="s">
        <v>96</v>
      </c>
    </row>
    <row r="304" spans="1:7" ht="14.25" customHeight="1">
      <c r="A304" s="45">
        <v>297</v>
      </c>
      <c r="B304" s="44" t="s">
        <v>1630</v>
      </c>
      <c r="C304" s="44" t="s">
        <v>1632</v>
      </c>
      <c r="D304" s="44" t="s">
        <v>1631</v>
      </c>
      <c r="E304" s="45" t="s">
        <v>1511</v>
      </c>
      <c r="F304" s="45" t="s">
        <v>1512</v>
      </c>
      <c r="G304" s="45" t="s">
        <v>1373</v>
      </c>
    </row>
    <row r="305" spans="1:7" ht="14.25" customHeight="1">
      <c r="A305" s="45">
        <v>298</v>
      </c>
      <c r="B305" s="68" t="s">
        <v>1353</v>
      </c>
      <c r="C305" s="69" t="s">
        <v>2220</v>
      </c>
      <c r="D305" s="177" t="s">
        <v>1509</v>
      </c>
      <c r="E305" s="45" t="s">
        <v>1511</v>
      </c>
      <c r="F305" s="45" t="s">
        <v>1512</v>
      </c>
      <c r="G305" s="45" t="s">
        <v>1489</v>
      </c>
    </row>
    <row r="306" spans="1:7" ht="14.25" customHeight="1">
      <c r="A306" s="45">
        <v>299</v>
      </c>
      <c r="B306" s="316" t="s">
        <v>4038</v>
      </c>
      <c r="C306" s="316" t="s">
        <v>4028</v>
      </c>
      <c r="D306" s="316" t="s">
        <v>1412</v>
      </c>
      <c r="E306" s="19" t="s">
        <v>4005</v>
      </c>
      <c r="F306" s="19" t="s">
        <v>4006</v>
      </c>
      <c r="G306" s="19" t="s">
        <v>2617</v>
      </c>
    </row>
    <row r="307" spans="1:7" ht="14.25" customHeight="1">
      <c r="A307" s="45">
        <v>300</v>
      </c>
      <c r="B307" s="316" t="s">
        <v>4017</v>
      </c>
      <c r="C307" s="316" t="s">
        <v>4015</v>
      </c>
      <c r="D307" s="316" t="s">
        <v>1412</v>
      </c>
      <c r="E307" s="19" t="s">
        <v>4005</v>
      </c>
      <c r="F307" s="19" t="s">
        <v>4006</v>
      </c>
      <c r="G307" s="19" t="s">
        <v>2617</v>
      </c>
    </row>
    <row r="308" spans="1:7" ht="14.25" customHeight="1">
      <c r="A308" s="45">
        <v>301</v>
      </c>
      <c r="B308" s="316" t="s">
        <v>3996</v>
      </c>
      <c r="C308" s="316" t="s">
        <v>3983</v>
      </c>
      <c r="D308" s="316" t="s">
        <v>1412</v>
      </c>
      <c r="E308" s="19" t="s">
        <v>4005</v>
      </c>
      <c r="F308" s="19" t="s">
        <v>4006</v>
      </c>
      <c r="G308" s="19" t="s">
        <v>2617</v>
      </c>
    </row>
    <row r="309" spans="1:7" ht="14.25" customHeight="1">
      <c r="A309" s="45">
        <v>302</v>
      </c>
      <c r="B309" s="316" t="s">
        <v>4003</v>
      </c>
      <c r="C309" s="316" t="s">
        <v>3992</v>
      </c>
      <c r="D309" s="316" t="s">
        <v>1412</v>
      </c>
      <c r="E309" s="19" t="s">
        <v>4005</v>
      </c>
      <c r="F309" s="19" t="s">
        <v>4006</v>
      </c>
      <c r="G309" s="19" t="s">
        <v>2617</v>
      </c>
    </row>
    <row r="310" spans="1:7" ht="14.25" customHeight="1">
      <c r="A310" s="45">
        <v>303</v>
      </c>
      <c r="B310" s="316" t="s">
        <v>3988</v>
      </c>
      <c r="C310" s="316" t="s">
        <v>3988</v>
      </c>
      <c r="D310" s="316" t="s">
        <v>1412</v>
      </c>
      <c r="E310" s="19" t="s">
        <v>4005</v>
      </c>
      <c r="F310" s="19" t="s">
        <v>4006</v>
      </c>
      <c r="G310" s="19" t="s">
        <v>2617</v>
      </c>
    </row>
    <row r="311" spans="1:7" ht="14.25" customHeight="1">
      <c r="A311" s="45">
        <v>304</v>
      </c>
      <c r="B311" s="316" t="s">
        <v>4060</v>
      </c>
      <c r="C311" s="316" t="s">
        <v>4055</v>
      </c>
      <c r="D311" s="316" t="s">
        <v>1412</v>
      </c>
      <c r="E311" s="19" t="s">
        <v>4005</v>
      </c>
      <c r="F311" s="19" t="s">
        <v>4006</v>
      </c>
      <c r="G311" s="19" t="s">
        <v>2617</v>
      </c>
    </row>
    <row r="312" spans="1:7" ht="14.25" customHeight="1">
      <c r="A312" s="45">
        <v>305</v>
      </c>
      <c r="B312" s="316" t="s">
        <v>4035</v>
      </c>
      <c r="C312" s="316" t="s">
        <v>4025</v>
      </c>
      <c r="D312" s="316" t="s">
        <v>1412</v>
      </c>
      <c r="E312" s="19" t="s">
        <v>4005</v>
      </c>
      <c r="F312" s="19" t="s">
        <v>4006</v>
      </c>
      <c r="G312" s="19" t="s">
        <v>2617</v>
      </c>
    </row>
    <row r="313" spans="1:7" ht="14.25" customHeight="1">
      <c r="A313" s="45">
        <v>306</v>
      </c>
      <c r="B313" s="316" t="s">
        <v>2679</v>
      </c>
      <c r="C313" s="316" t="s">
        <v>4024</v>
      </c>
      <c r="D313" s="316" t="s">
        <v>1412</v>
      </c>
      <c r="E313" s="19" t="s">
        <v>4005</v>
      </c>
      <c r="F313" s="19" t="s">
        <v>4006</v>
      </c>
      <c r="G313" s="19" t="s">
        <v>2617</v>
      </c>
    </row>
    <row r="314" spans="1:7" ht="14.25" customHeight="1">
      <c r="A314" s="45">
        <v>307</v>
      </c>
      <c r="B314" s="316" t="s">
        <v>4034</v>
      </c>
      <c r="C314" s="316" t="s">
        <v>4023</v>
      </c>
      <c r="D314" s="316" t="s">
        <v>1412</v>
      </c>
      <c r="E314" s="19" t="s">
        <v>4005</v>
      </c>
      <c r="F314" s="19" t="s">
        <v>4006</v>
      </c>
      <c r="G314" s="19" t="s">
        <v>2617</v>
      </c>
    </row>
    <row r="315" spans="1:7" ht="14.25" customHeight="1">
      <c r="A315" s="45">
        <v>308</v>
      </c>
      <c r="B315" s="316" t="s">
        <v>4037</v>
      </c>
      <c r="C315" s="316" t="s">
        <v>4027</v>
      </c>
      <c r="D315" s="316" t="s">
        <v>1412</v>
      </c>
      <c r="E315" s="19" t="s">
        <v>4005</v>
      </c>
      <c r="F315" s="19" t="s">
        <v>4006</v>
      </c>
      <c r="G315" s="19" t="s">
        <v>2617</v>
      </c>
    </row>
    <row r="316" spans="1:7" ht="14.25" customHeight="1">
      <c r="A316" s="45">
        <v>309</v>
      </c>
      <c r="B316" s="316" t="s">
        <v>4033</v>
      </c>
      <c r="C316" s="316" t="s">
        <v>4022</v>
      </c>
      <c r="D316" s="316" t="s">
        <v>1412</v>
      </c>
      <c r="E316" s="19" t="s">
        <v>4005</v>
      </c>
      <c r="F316" s="19" t="s">
        <v>4006</v>
      </c>
      <c r="G316" s="19" t="s">
        <v>2617</v>
      </c>
    </row>
    <row r="317" spans="1:7" ht="14.25" customHeight="1">
      <c r="A317" s="45">
        <v>310</v>
      </c>
      <c r="B317" s="316" t="s">
        <v>3999</v>
      </c>
      <c r="C317" s="316" t="s">
        <v>3986</v>
      </c>
      <c r="D317" s="316" t="s">
        <v>1412</v>
      </c>
      <c r="E317" s="19" t="s">
        <v>4005</v>
      </c>
      <c r="F317" s="19" t="s">
        <v>4006</v>
      </c>
      <c r="G317" s="19" t="s">
        <v>2617</v>
      </c>
    </row>
    <row r="318" spans="1:7" ht="14.25" customHeight="1">
      <c r="A318" s="45">
        <v>311</v>
      </c>
      <c r="B318" s="316" t="s">
        <v>3994</v>
      </c>
      <c r="C318" s="316" t="s">
        <v>3981</v>
      </c>
      <c r="D318" s="316" t="s">
        <v>1412</v>
      </c>
      <c r="E318" s="19" t="s">
        <v>4005</v>
      </c>
      <c r="F318" s="19" t="s">
        <v>4006</v>
      </c>
      <c r="G318" s="19" t="s">
        <v>4007</v>
      </c>
    </row>
    <row r="319" spans="1:7" ht="14.25" customHeight="1">
      <c r="A319" s="45">
        <v>312</v>
      </c>
      <c r="B319" s="316" t="s">
        <v>4061</v>
      </c>
      <c r="C319" s="316" t="s">
        <v>4056</v>
      </c>
      <c r="D319" s="316" t="s">
        <v>1412</v>
      </c>
      <c r="E319" s="19" t="s">
        <v>4005</v>
      </c>
      <c r="F319" s="19" t="s">
        <v>4006</v>
      </c>
      <c r="G319" s="19" t="s">
        <v>2617</v>
      </c>
    </row>
    <row r="320" spans="1:7" ht="14.25" customHeight="1">
      <c r="A320" s="45">
        <v>313</v>
      </c>
      <c r="B320" s="316" t="s">
        <v>4030</v>
      </c>
      <c r="C320" s="316" t="s">
        <v>4019</v>
      </c>
      <c r="D320" s="316" t="s">
        <v>1412</v>
      </c>
      <c r="E320" s="19" t="s">
        <v>4005</v>
      </c>
      <c r="F320" s="19" t="s">
        <v>4006</v>
      </c>
      <c r="G320" s="19" t="s">
        <v>2617</v>
      </c>
    </row>
    <row r="321" spans="1:7" ht="14.25" customHeight="1">
      <c r="A321" s="45">
        <v>314</v>
      </c>
      <c r="B321" s="316" t="s">
        <v>4018</v>
      </c>
      <c r="C321" s="316" t="s">
        <v>4016</v>
      </c>
      <c r="D321" s="316" t="s">
        <v>1412</v>
      </c>
      <c r="E321" s="19" t="s">
        <v>4005</v>
      </c>
      <c r="F321" s="19" t="s">
        <v>4006</v>
      </c>
      <c r="G321" s="19" t="s">
        <v>2617</v>
      </c>
    </row>
    <row r="322" spans="1:7" ht="14.25" customHeight="1">
      <c r="A322" s="45">
        <v>315</v>
      </c>
      <c r="B322" s="316" t="s">
        <v>4000</v>
      </c>
      <c r="C322" s="316" t="s">
        <v>3989</v>
      </c>
      <c r="D322" s="316" t="s">
        <v>1412</v>
      </c>
      <c r="E322" s="19" t="s">
        <v>4005</v>
      </c>
      <c r="F322" s="19" t="s">
        <v>4006</v>
      </c>
      <c r="G322" s="19" t="s">
        <v>2617</v>
      </c>
    </row>
    <row r="323" spans="1:7" ht="14.25" customHeight="1">
      <c r="A323" s="45">
        <v>316</v>
      </c>
      <c r="B323" s="316" t="s">
        <v>4062</v>
      </c>
      <c r="C323" s="316" t="s">
        <v>4057</v>
      </c>
      <c r="D323" s="316" t="s">
        <v>1412</v>
      </c>
      <c r="E323" s="19" t="s">
        <v>4005</v>
      </c>
      <c r="F323" s="19" t="s">
        <v>4006</v>
      </c>
      <c r="G323" s="19" t="s">
        <v>2617</v>
      </c>
    </row>
    <row r="324" spans="1:7" ht="14.25" customHeight="1">
      <c r="A324" s="45">
        <v>317</v>
      </c>
      <c r="B324" s="316" t="s">
        <v>3998</v>
      </c>
      <c r="C324" s="316" t="s">
        <v>3985</v>
      </c>
      <c r="D324" s="316" t="s">
        <v>1412</v>
      </c>
      <c r="E324" s="19" t="s">
        <v>4005</v>
      </c>
      <c r="F324" s="19" t="s">
        <v>4006</v>
      </c>
      <c r="G324" s="19" t="s">
        <v>2617</v>
      </c>
    </row>
    <row r="325" spans="1:7" ht="14.25" customHeight="1">
      <c r="A325" s="45">
        <v>318</v>
      </c>
      <c r="B325" s="316" t="s">
        <v>2327</v>
      </c>
      <c r="C325" s="316" t="s">
        <v>2096</v>
      </c>
      <c r="D325" s="316" t="s">
        <v>1412</v>
      </c>
      <c r="E325" s="19" t="s">
        <v>4005</v>
      </c>
      <c r="F325" s="19" t="s">
        <v>4006</v>
      </c>
      <c r="G325" s="19" t="s">
        <v>4007</v>
      </c>
    </row>
    <row r="326" spans="1:7" ht="14.25" customHeight="1">
      <c r="A326" s="45">
        <v>319</v>
      </c>
      <c r="B326" s="316" t="s">
        <v>3995</v>
      </c>
      <c r="C326" s="316" t="s">
        <v>3982</v>
      </c>
      <c r="D326" s="316" t="s">
        <v>1412</v>
      </c>
      <c r="E326" s="19" t="s">
        <v>4005</v>
      </c>
      <c r="F326" s="19" t="s">
        <v>4006</v>
      </c>
      <c r="G326" s="19" t="s">
        <v>2617</v>
      </c>
    </row>
    <row r="327" spans="1:7" ht="14.25" customHeight="1">
      <c r="A327" s="45">
        <v>320</v>
      </c>
      <c r="B327" s="316" t="s">
        <v>4036</v>
      </c>
      <c r="C327" s="316" t="s">
        <v>4026</v>
      </c>
      <c r="D327" s="316" t="s">
        <v>1412</v>
      </c>
      <c r="E327" s="19" t="s">
        <v>4005</v>
      </c>
      <c r="F327" s="19" t="s">
        <v>4006</v>
      </c>
      <c r="G327" s="19" t="s">
        <v>2617</v>
      </c>
    </row>
    <row r="328" spans="1:7" ht="14.25" customHeight="1">
      <c r="A328" s="45">
        <v>321</v>
      </c>
      <c r="B328" s="316" t="s">
        <v>4002</v>
      </c>
      <c r="C328" s="316" t="s">
        <v>3991</v>
      </c>
      <c r="D328" s="316" t="s">
        <v>1412</v>
      </c>
      <c r="E328" s="19" t="s">
        <v>4005</v>
      </c>
      <c r="F328" s="19" t="s">
        <v>4006</v>
      </c>
      <c r="G328" s="19" t="s">
        <v>2617</v>
      </c>
    </row>
    <row r="329" spans="1:7" ht="14.25" customHeight="1">
      <c r="A329" s="45">
        <v>322</v>
      </c>
      <c r="B329" s="316" t="s">
        <v>4032</v>
      </c>
      <c r="C329" s="316" t="s">
        <v>4021</v>
      </c>
      <c r="D329" s="316" t="s">
        <v>1412</v>
      </c>
      <c r="E329" s="19" t="s">
        <v>4005</v>
      </c>
      <c r="F329" s="19" t="s">
        <v>4006</v>
      </c>
      <c r="G329" s="19" t="s">
        <v>2617</v>
      </c>
    </row>
    <row r="330" spans="1:7" ht="14.25" customHeight="1">
      <c r="A330" s="45">
        <v>323</v>
      </c>
      <c r="B330" s="316" t="s">
        <v>4031</v>
      </c>
      <c r="C330" s="316" t="s">
        <v>4020</v>
      </c>
      <c r="D330" s="316" t="s">
        <v>1412</v>
      </c>
      <c r="E330" s="19" t="s">
        <v>4005</v>
      </c>
      <c r="F330" s="19" t="s">
        <v>4006</v>
      </c>
      <c r="G330" s="19" t="s">
        <v>2617</v>
      </c>
    </row>
    <row r="331" spans="1:7" ht="14.25" customHeight="1">
      <c r="A331" s="45">
        <v>324</v>
      </c>
      <c r="B331" s="316" t="s">
        <v>4059</v>
      </c>
      <c r="C331" s="316" t="s">
        <v>4054</v>
      </c>
      <c r="D331" s="316" t="s">
        <v>1412</v>
      </c>
      <c r="E331" s="19" t="s">
        <v>4005</v>
      </c>
      <c r="F331" s="19" t="s">
        <v>4006</v>
      </c>
      <c r="G331" s="19" t="s">
        <v>2617</v>
      </c>
    </row>
    <row r="332" spans="1:7" ht="14.25" customHeight="1">
      <c r="A332" s="45">
        <v>325</v>
      </c>
      <c r="B332" s="316" t="s">
        <v>2316</v>
      </c>
      <c r="C332" s="316" t="s">
        <v>4029</v>
      </c>
      <c r="D332" s="316" t="s">
        <v>1412</v>
      </c>
      <c r="E332" s="19" t="s">
        <v>4005</v>
      </c>
      <c r="F332" s="19" t="s">
        <v>4006</v>
      </c>
      <c r="G332" s="19" t="s">
        <v>2617</v>
      </c>
    </row>
    <row r="333" spans="1:7" ht="14.25" customHeight="1">
      <c r="A333" s="45">
        <v>326</v>
      </c>
      <c r="B333" s="316" t="s">
        <v>4004</v>
      </c>
      <c r="C333" s="316" t="s">
        <v>3993</v>
      </c>
      <c r="D333" s="316" t="s">
        <v>1412</v>
      </c>
      <c r="E333" s="19" t="s">
        <v>4005</v>
      </c>
      <c r="F333" s="19" t="s">
        <v>4006</v>
      </c>
      <c r="G333" s="19" t="s">
        <v>2617</v>
      </c>
    </row>
    <row r="334" spans="1:7" ht="14.25" customHeight="1">
      <c r="A334" s="45">
        <v>327</v>
      </c>
      <c r="B334" s="316" t="s">
        <v>3997</v>
      </c>
      <c r="C334" s="316" t="s">
        <v>3984</v>
      </c>
      <c r="D334" s="316" t="s">
        <v>1412</v>
      </c>
      <c r="E334" s="19" t="s">
        <v>4005</v>
      </c>
      <c r="F334" s="19" t="s">
        <v>4006</v>
      </c>
      <c r="G334" s="19" t="s">
        <v>2617</v>
      </c>
    </row>
    <row r="335" spans="1:7" ht="14.25" customHeight="1">
      <c r="A335" s="45">
        <v>328</v>
      </c>
      <c r="B335" s="316" t="s">
        <v>4010</v>
      </c>
      <c r="C335" s="316" t="s">
        <v>3987</v>
      </c>
      <c r="D335" s="316" t="s">
        <v>1412</v>
      </c>
      <c r="E335" s="19" t="s">
        <v>4005</v>
      </c>
      <c r="F335" s="19" t="s">
        <v>4006</v>
      </c>
      <c r="G335" s="19" t="s">
        <v>2617</v>
      </c>
    </row>
    <row r="336" spans="1:7" ht="14.25" customHeight="1">
      <c r="A336" s="45">
        <v>329</v>
      </c>
      <c r="B336" s="316" t="s">
        <v>4001</v>
      </c>
      <c r="C336" s="316" t="s">
        <v>3990</v>
      </c>
      <c r="D336" s="316" t="s">
        <v>1412</v>
      </c>
      <c r="E336" s="19" t="s">
        <v>4005</v>
      </c>
      <c r="F336" s="19" t="s">
        <v>4006</v>
      </c>
      <c r="G336" s="19" t="s">
        <v>2617</v>
      </c>
    </row>
    <row r="337" spans="1:7" ht="14.25" customHeight="1">
      <c r="A337" s="45">
        <v>330</v>
      </c>
      <c r="B337" s="316" t="s">
        <v>4058</v>
      </c>
      <c r="C337" s="316" t="s">
        <v>4053</v>
      </c>
      <c r="D337" s="316" t="s">
        <v>1412</v>
      </c>
      <c r="E337" s="19" t="s">
        <v>4005</v>
      </c>
      <c r="F337" s="19" t="s">
        <v>4006</v>
      </c>
      <c r="G337" s="19" t="s">
        <v>2617</v>
      </c>
    </row>
    <row r="338" spans="1:7" ht="14.25" customHeight="1">
      <c r="A338" s="45">
        <v>331</v>
      </c>
      <c r="B338" s="316" t="s">
        <v>2545</v>
      </c>
      <c r="C338" s="316" t="s">
        <v>2590</v>
      </c>
      <c r="D338" s="316" t="s">
        <v>1412</v>
      </c>
      <c r="E338" s="19" t="s">
        <v>4005</v>
      </c>
      <c r="F338" s="19" t="s">
        <v>4006</v>
      </c>
      <c r="G338" s="19" t="s">
        <v>2617</v>
      </c>
    </row>
    <row r="339" spans="1:7" ht="14.25" customHeight="1">
      <c r="A339" s="45">
        <v>332</v>
      </c>
      <c r="B339" s="316" t="s">
        <v>2550</v>
      </c>
      <c r="C339" s="316" t="s">
        <v>2596</v>
      </c>
      <c r="D339" s="316" t="s">
        <v>1412</v>
      </c>
      <c r="E339" s="19" t="s">
        <v>4005</v>
      </c>
      <c r="F339" s="19" t="s">
        <v>4006</v>
      </c>
      <c r="G339" s="19" t="s">
        <v>2617</v>
      </c>
    </row>
    <row r="340" spans="1:7" ht="14.25" customHeight="1">
      <c r="A340" s="45">
        <v>333</v>
      </c>
      <c r="B340" s="209" t="s">
        <v>4117</v>
      </c>
      <c r="C340" s="183" t="s">
        <v>4118</v>
      </c>
      <c r="D340" s="209" t="s">
        <v>4119</v>
      </c>
      <c r="E340" s="19" t="s">
        <v>4005</v>
      </c>
      <c r="F340" s="19" t="s">
        <v>4006</v>
      </c>
      <c r="G340" s="19" t="s">
        <v>1370</v>
      </c>
    </row>
    <row r="341" spans="1:7" ht="14.25" customHeight="1">
      <c r="A341" s="45">
        <v>334</v>
      </c>
      <c r="B341" s="209" t="s">
        <v>4151</v>
      </c>
      <c r="C341" s="183" t="s">
        <v>4152</v>
      </c>
      <c r="D341" s="209" t="s">
        <v>4119</v>
      </c>
      <c r="E341" s="19" t="s">
        <v>4005</v>
      </c>
      <c r="F341" s="19" t="s">
        <v>4006</v>
      </c>
      <c r="G341" s="19" t="s">
        <v>1370</v>
      </c>
    </row>
    <row r="342" spans="1:7" ht="14.25" customHeight="1">
      <c r="A342" s="45">
        <v>335</v>
      </c>
      <c r="B342" s="209" t="s">
        <v>4167</v>
      </c>
      <c r="C342" s="183" t="s">
        <v>4168</v>
      </c>
      <c r="D342" s="209" t="s">
        <v>4159</v>
      </c>
      <c r="E342" s="19" t="s">
        <v>4005</v>
      </c>
      <c r="F342" s="19" t="s">
        <v>4006</v>
      </c>
      <c r="G342" s="19" t="s">
        <v>1370</v>
      </c>
    </row>
    <row r="343" spans="1:7" ht="14.25" customHeight="1">
      <c r="A343" s="45">
        <v>336</v>
      </c>
      <c r="B343" s="209" t="s">
        <v>4143</v>
      </c>
      <c r="C343" s="183" t="s">
        <v>4144</v>
      </c>
      <c r="D343" s="209" t="s">
        <v>4119</v>
      </c>
      <c r="E343" s="19" t="s">
        <v>4005</v>
      </c>
      <c r="F343" s="19" t="s">
        <v>4006</v>
      </c>
      <c r="G343" s="19" t="s">
        <v>1370</v>
      </c>
    </row>
    <row r="344" spans="1:7" ht="14.25" customHeight="1">
      <c r="A344" s="45">
        <v>337</v>
      </c>
      <c r="B344" s="209" t="s">
        <v>4096</v>
      </c>
      <c r="C344" s="183" t="s">
        <v>4106</v>
      </c>
      <c r="D344" s="209" t="s">
        <v>1412</v>
      </c>
      <c r="E344" s="19" t="s">
        <v>4005</v>
      </c>
      <c r="F344" s="19" t="s">
        <v>4006</v>
      </c>
      <c r="G344" s="19" t="s">
        <v>1370</v>
      </c>
    </row>
    <row r="345" spans="1:7" ht="14.25" customHeight="1">
      <c r="A345" s="45">
        <v>338</v>
      </c>
      <c r="B345" s="209" t="s">
        <v>4122</v>
      </c>
      <c r="C345" s="183" t="s">
        <v>4123</v>
      </c>
      <c r="D345" s="209" t="s">
        <v>4119</v>
      </c>
      <c r="E345" s="19" t="s">
        <v>4005</v>
      </c>
      <c r="F345" s="19" t="s">
        <v>4006</v>
      </c>
      <c r="G345" s="19" t="s">
        <v>1370</v>
      </c>
    </row>
    <row r="346" spans="1:7" ht="14.25" customHeight="1">
      <c r="A346" s="45">
        <v>339</v>
      </c>
      <c r="B346" s="209" t="s">
        <v>4147</v>
      </c>
      <c r="C346" s="183" t="s">
        <v>4148</v>
      </c>
      <c r="D346" s="209" t="s">
        <v>4119</v>
      </c>
      <c r="E346" s="19" t="s">
        <v>4005</v>
      </c>
      <c r="F346" s="19" t="s">
        <v>4006</v>
      </c>
      <c r="G346" s="19" t="s">
        <v>1370</v>
      </c>
    </row>
    <row r="347" spans="1:7" ht="14.25" customHeight="1">
      <c r="A347" s="45">
        <v>340</v>
      </c>
      <c r="B347" s="209" t="s">
        <v>4165</v>
      </c>
      <c r="C347" s="183" t="s">
        <v>4166</v>
      </c>
      <c r="D347" s="209" t="s">
        <v>4119</v>
      </c>
      <c r="E347" s="19" t="s">
        <v>4005</v>
      </c>
      <c r="F347" s="19" t="s">
        <v>4006</v>
      </c>
      <c r="G347" s="19" t="s">
        <v>1370</v>
      </c>
    </row>
    <row r="348" spans="1:7" ht="14.25" customHeight="1">
      <c r="A348" s="45">
        <v>341</v>
      </c>
      <c r="B348" s="209" t="s">
        <v>4127</v>
      </c>
      <c r="C348" s="183" t="s">
        <v>4128</v>
      </c>
      <c r="D348" s="209" t="s">
        <v>4119</v>
      </c>
      <c r="E348" s="19" t="s">
        <v>4005</v>
      </c>
      <c r="F348" s="19" t="s">
        <v>4006</v>
      </c>
      <c r="G348" s="19" t="s">
        <v>1370</v>
      </c>
    </row>
    <row r="349" spans="1:7" ht="14.25" customHeight="1">
      <c r="A349" s="45">
        <v>342</v>
      </c>
      <c r="B349" s="209" t="s">
        <v>4139</v>
      </c>
      <c r="C349" s="183" t="s">
        <v>4140</v>
      </c>
      <c r="D349" s="209" t="s">
        <v>4119</v>
      </c>
      <c r="E349" s="19" t="s">
        <v>4005</v>
      </c>
      <c r="F349" s="19" t="s">
        <v>4006</v>
      </c>
      <c r="G349" s="19" t="s">
        <v>1370</v>
      </c>
    </row>
    <row r="350" spans="1:7" ht="14.25" customHeight="1">
      <c r="A350" s="45">
        <v>343</v>
      </c>
      <c r="B350" s="209" t="s">
        <v>4098</v>
      </c>
      <c r="C350" s="183" t="s">
        <v>4089</v>
      </c>
      <c r="D350" s="209" t="s">
        <v>1412</v>
      </c>
      <c r="E350" s="19" t="s">
        <v>4005</v>
      </c>
      <c r="F350" s="19" t="s">
        <v>4006</v>
      </c>
      <c r="G350" s="19" t="s">
        <v>1370</v>
      </c>
    </row>
    <row r="351" spans="1:7" ht="14.25" customHeight="1">
      <c r="A351" s="45">
        <v>344</v>
      </c>
      <c r="B351" s="209" t="s">
        <v>4092</v>
      </c>
      <c r="C351" s="183" t="s">
        <v>4082</v>
      </c>
      <c r="D351" s="209" t="s">
        <v>1412</v>
      </c>
      <c r="E351" s="19" t="s">
        <v>4005</v>
      </c>
      <c r="F351" s="19" t="s">
        <v>4006</v>
      </c>
      <c r="G351" s="19" t="s">
        <v>4091</v>
      </c>
    </row>
    <row r="352" spans="1:7" ht="14.25" customHeight="1">
      <c r="A352" s="45">
        <v>345</v>
      </c>
      <c r="B352" s="209" t="s">
        <v>4094</v>
      </c>
      <c r="C352" s="183" t="s">
        <v>4104</v>
      </c>
      <c r="D352" s="209" t="s">
        <v>1412</v>
      </c>
      <c r="E352" s="19" t="s">
        <v>4005</v>
      </c>
      <c r="F352" s="19" t="s">
        <v>4006</v>
      </c>
      <c r="G352" s="19" t="s">
        <v>1370</v>
      </c>
    </row>
    <row r="353" spans="1:7" ht="14.25" customHeight="1">
      <c r="A353" s="45">
        <v>346</v>
      </c>
      <c r="B353" s="209" t="s">
        <v>4137</v>
      </c>
      <c r="C353" s="183" t="s">
        <v>4138</v>
      </c>
      <c r="D353" s="209" t="s">
        <v>4119</v>
      </c>
      <c r="E353" s="19" t="s">
        <v>4005</v>
      </c>
      <c r="F353" s="19" t="s">
        <v>4006</v>
      </c>
      <c r="G353" s="19" t="s">
        <v>1370</v>
      </c>
    </row>
    <row r="354" spans="1:7" ht="14.25" customHeight="1">
      <c r="A354" s="45">
        <v>347</v>
      </c>
      <c r="B354" s="209" t="s">
        <v>4074</v>
      </c>
      <c r="C354" s="183" t="s">
        <v>4083</v>
      </c>
      <c r="D354" s="209" t="s">
        <v>1412</v>
      </c>
      <c r="E354" s="19" t="s">
        <v>4005</v>
      </c>
      <c r="F354" s="19" t="s">
        <v>4006</v>
      </c>
      <c r="G354" s="19" t="s">
        <v>1370</v>
      </c>
    </row>
    <row r="355" spans="1:7" ht="14.25" customHeight="1">
      <c r="A355" s="45">
        <v>348</v>
      </c>
      <c r="B355" s="209" t="s">
        <v>4141</v>
      </c>
      <c r="C355" s="183" t="s">
        <v>4142</v>
      </c>
      <c r="D355" s="209" t="s">
        <v>4119</v>
      </c>
      <c r="E355" s="19" t="s">
        <v>4005</v>
      </c>
      <c r="F355" s="19" t="s">
        <v>4006</v>
      </c>
      <c r="G355" s="19" t="s">
        <v>1370</v>
      </c>
    </row>
    <row r="356" spans="1:7" ht="14.25" customHeight="1">
      <c r="A356" s="45">
        <v>349</v>
      </c>
      <c r="B356" s="209" t="s">
        <v>4131</v>
      </c>
      <c r="C356" s="183" t="s">
        <v>4132</v>
      </c>
      <c r="D356" s="209" t="s">
        <v>4119</v>
      </c>
      <c r="E356" s="19" t="s">
        <v>4005</v>
      </c>
      <c r="F356" s="19" t="s">
        <v>4006</v>
      </c>
      <c r="G356" s="19" t="s">
        <v>1370</v>
      </c>
    </row>
    <row r="357" spans="1:7" ht="14.25" customHeight="1">
      <c r="A357" s="45">
        <v>350</v>
      </c>
      <c r="B357" s="183" t="s">
        <v>4180</v>
      </c>
      <c r="C357" s="183" t="s">
        <v>4181</v>
      </c>
      <c r="D357" s="209" t="s">
        <v>4183</v>
      </c>
      <c r="E357" s="19" t="s">
        <v>4005</v>
      </c>
      <c r="F357" s="19" t="s">
        <v>4006</v>
      </c>
      <c r="G357" s="19" t="s">
        <v>1370</v>
      </c>
    </row>
    <row r="358" spans="1:7" ht="14.25" customHeight="1">
      <c r="A358" s="45">
        <v>351</v>
      </c>
      <c r="B358" s="209" t="s">
        <v>4097</v>
      </c>
      <c r="C358" s="183" t="s">
        <v>4107</v>
      </c>
      <c r="D358" s="209" t="s">
        <v>1412</v>
      </c>
      <c r="E358" s="19" t="s">
        <v>4005</v>
      </c>
      <c r="F358" s="19" t="s">
        <v>4006</v>
      </c>
      <c r="G358" s="19" t="s">
        <v>1370</v>
      </c>
    </row>
    <row r="359" spans="1:7" ht="14.25" customHeight="1">
      <c r="A359" s="45">
        <v>352</v>
      </c>
      <c r="B359" s="209" t="s">
        <v>4133</v>
      </c>
      <c r="C359" s="183" t="s">
        <v>4134</v>
      </c>
      <c r="D359" s="209" t="s">
        <v>4119</v>
      </c>
      <c r="E359" s="19" t="s">
        <v>4005</v>
      </c>
      <c r="F359" s="19" t="s">
        <v>4006</v>
      </c>
      <c r="G359" s="19" t="s">
        <v>1370</v>
      </c>
    </row>
    <row r="360" spans="1:7" ht="14.25" customHeight="1">
      <c r="A360" s="45">
        <v>353</v>
      </c>
      <c r="B360" s="209" t="s">
        <v>2688</v>
      </c>
      <c r="C360" s="183" t="s">
        <v>4084</v>
      </c>
      <c r="D360" s="209" t="s">
        <v>1412</v>
      </c>
      <c r="E360" s="19" t="s">
        <v>4005</v>
      </c>
      <c r="F360" s="19" t="s">
        <v>4006</v>
      </c>
      <c r="G360" s="19" t="s">
        <v>1370</v>
      </c>
    </row>
    <row r="361" spans="1:7" ht="14.25" customHeight="1">
      <c r="A361" s="45">
        <v>354</v>
      </c>
      <c r="B361" s="209" t="s">
        <v>4149</v>
      </c>
      <c r="C361" s="183" t="s">
        <v>4150</v>
      </c>
      <c r="D361" s="209" t="s">
        <v>4119</v>
      </c>
      <c r="E361" s="19" t="s">
        <v>4005</v>
      </c>
      <c r="F361" s="19" t="s">
        <v>4006</v>
      </c>
      <c r="G361" s="19" t="s">
        <v>1370</v>
      </c>
    </row>
    <row r="362" spans="1:7" ht="14.25" customHeight="1">
      <c r="A362" s="45">
        <v>355</v>
      </c>
      <c r="B362" s="209" t="s">
        <v>4078</v>
      </c>
      <c r="C362" s="183" t="s">
        <v>4088</v>
      </c>
      <c r="D362" s="209" t="s">
        <v>1412</v>
      </c>
      <c r="E362" s="19" t="s">
        <v>4005</v>
      </c>
      <c r="F362" s="19" t="s">
        <v>4006</v>
      </c>
      <c r="G362" s="19" t="s">
        <v>1370</v>
      </c>
    </row>
    <row r="363" spans="1:7" ht="14.25" customHeight="1">
      <c r="A363" s="45">
        <v>356</v>
      </c>
      <c r="B363" s="209" t="s">
        <v>4124</v>
      </c>
      <c r="C363" s="183" t="s">
        <v>4125</v>
      </c>
      <c r="D363" s="209" t="s">
        <v>4119</v>
      </c>
      <c r="E363" s="19" t="s">
        <v>4005</v>
      </c>
      <c r="F363" s="19" t="s">
        <v>4006</v>
      </c>
      <c r="G363" s="19" t="s">
        <v>1370</v>
      </c>
    </row>
    <row r="364" spans="1:7" ht="14.25" customHeight="1">
      <c r="A364" s="45">
        <v>357</v>
      </c>
      <c r="B364" s="209" t="s">
        <v>4163</v>
      </c>
      <c r="C364" s="183" t="s">
        <v>4164</v>
      </c>
      <c r="D364" s="209" t="s">
        <v>4119</v>
      </c>
      <c r="E364" s="19" t="s">
        <v>4005</v>
      </c>
      <c r="F364" s="19" t="s">
        <v>4006</v>
      </c>
      <c r="G364" s="19" t="s">
        <v>1370</v>
      </c>
    </row>
    <row r="365" spans="1:7" ht="14.25" customHeight="1">
      <c r="A365" s="45">
        <v>358</v>
      </c>
      <c r="B365" s="209" t="s">
        <v>4073</v>
      </c>
      <c r="C365" s="183" t="s">
        <v>4081</v>
      </c>
      <c r="D365" s="209" t="s">
        <v>1412</v>
      </c>
      <c r="E365" s="19" t="s">
        <v>4005</v>
      </c>
      <c r="F365" s="19" t="s">
        <v>4006</v>
      </c>
      <c r="G365" s="19" t="s">
        <v>4090</v>
      </c>
    </row>
    <row r="366" spans="1:7" ht="14.25" customHeight="1">
      <c r="A366" s="45">
        <v>359</v>
      </c>
      <c r="B366" s="209" t="s">
        <v>4135</v>
      </c>
      <c r="C366" s="183" t="s">
        <v>4136</v>
      </c>
      <c r="D366" s="209" t="s">
        <v>4119</v>
      </c>
      <c r="E366" s="19" t="s">
        <v>4005</v>
      </c>
      <c r="F366" s="19" t="s">
        <v>4006</v>
      </c>
      <c r="G366" s="19" t="s">
        <v>1370</v>
      </c>
    </row>
    <row r="367" spans="1:7" ht="14.25" customHeight="1">
      <c r="A367" s="45">
        <v>360</v>
      </c>
      <c r="B367" s="209" t="s">
        <v>4120</v>
      </c>
      <c r="C367" s="183" t="s">
        <v>4121</v>
      </c>
      <c r="D367" s="209" t="s">
        <v>4119</v>
      </c>
      <c r="E367" s="19" t="s">
        <v>4005</v>
      </c>
      <c r="F367" s="19" t="s">
        <v>4006</v>
      </c>
      <c r="G367" s="19" t="s">
        <v>1370</v>
      </c>
    </row>
    <row r="368" spans="1:7" ht="14.25" customHeight="1">
      <c r="A368" s="45">
        <v>361</v>
      </c>
      <c r="B368" s="209" t="s">
        <v>4145</v>
      </c>
      <c r="C368" s="183" t="s">
        <v>4146</v>
      </c>
      <c r="D368" s="209" t="s">
        <v>4119</v>
      </c>
      <c r="E368" s="19" t="s">
        <v>4005</v>
      </c>
      <c r="F368" s="19" t="s">
        <v>4006</v>
      </c>
      <c r="G368" s="19" t="s">
        <v>1370</v>
      </c>
    </row>
    <row r="369" spans="1:7" ht="14.25" customHeight="1">
      <c r="A369" s="45">
        <v>362</v>
      </c>
      <c r="B369" s="209" t="s">
        <v>4095</v>
      </c>
      <c r="C369" s="183" t="s">
        <v>4105</v>
      </c>
      <c r="D369" s="209" t="s">
        <v>1412</v>
      </c>
      <c r="E369" s="19" t="s">
        <v>4005</v>
      </c>
      <c r="F369" s="19" t="s">
        <v>4006</v>
      </c>
      <c r="G369" s="19" t="s">
        <v>1370</v>
      </c>
    </row>
    <row r="370" spans="1:7" ht="14.25" customHeight="1">
      <c r="A370" s="45">
        <v>363</v>
      </c>
      <c r="B370" s="209" t="s">
        <v>4153</v>
      </c>
      <c r="C370" s="183" t="s">
        <v>4154</v>
      </c>
      <c r="D370" s="209" t="s">
        <v>4119</v>
      </c>
      <c r="E370" s="19" t="s">
        <v>4005</v>
      </c>
      <c r="F370" s="19" t="s">
        <v>4006</v>
      </c>
      <c r="G370" s="19" t="s">
        <v>1370</v>
      </c>
    </row>
    <row r="371" spans="1:7" ht="14.25" customHeight="1">
      <c r="A371" s="45">
        <v>364</v>
      </c>
      <c r="B371" s="209" t="s">
        <v>4169</v>
      </c>
      <c r="C371" s="183" t="s">
        <v>4170</v>
      </c>
      <c r="D371" s="209" t="s">
        <v>4119</v>
      </c>
      <c r="E371" s="19" t="s">
        <v>4005</v>
      </c>
      <c r="F371" s="19" t="s">
        <v>4006</v>
      </c>
      <c r="G371" s="19" t="s">
        <v>1370</v>
      </c>
    </row>
    <row r="372" spans="1:7" ht="14.25" customHeight="1">
      <c r="A372" s="45">
        <v>365</v>
      </c>
      <c r="B372" s="209" t="s">
        <v>4080</v>
      </c>
      <c r="C372" s="183" t="s">
        <v>4102</v>
      </c>
      <c r="D372" s="209" t="s">
        <v>1412</v>
      </c>
      <c r="E372" s="19" t="s">
        <v>4005</v>
      </c>
      <c r="F372" s="19" t="s">
        <v>4006</v>
      </c>
      <c r="G372" s="19" t="s">
        <v>1370</v>
      </c>
    </row>
    <row r="373" spans="1:7" ht="14.25" customHeight="1">
      <c r="A373" s="45">
        <v>366</v>
      </c>
      <c r="B373" s="209" t="s">
        <v>4079</v>
      </c>
      <c r="C373" s="183" t="s">
        <v>4108</v>
      </c>
      <c r="D373" s="209" t="s">
        <v>1412</v>
      </c>
      <c r="E373" s="19" t="s">
        <v>4005</v>
      </c>
      <c r="F373" s="19" t="s">
        <v>4006</v>
      </c>
      <c r="G373" s="19" t="s">
        <v>1370</v>
      </c>
    </row>
    <row r="374" spans="1:7" ht="14.25" customHeight="1">
      <c r="A374" s="45">
        <v>367</v>
      </c>
      <c r="B374" s="209" t="s">
        <v>4099</v>
      </c>
      <c r="C374" s="183" t="s">
        <v>4109</v>
      </c>
      <c r="D374" s="209" t="s">
        <v>1412</v>
      </c>
      <c r="E374" s="19" t="s">
        <v>4005</v>
      </c>
      <c r="F374" s="19" t="s">
        <v>4006</v>
      </c>
      <c r="G374" s="19" t="s">
        <v>1370</v>
      </c>
    </row>
    <row r="375" spans="1:7" ht="14.25" customHeight="1">
      <c r="A375" s="45">
        <v>368</v>
      </c>
      <c r="B375" s="209" t="s">
        <v>4129</v>
      </c>
      <c r="C375" s="183" t="s">
        <v>4130</v>
      </c>
      <c r="D375" s="209" t="s">
        <v>4119</v>
      </c>
      <c r="E375" s="19" t="s">
        <v>4005</v>
      </c>
      <c r="F375" s="19" t="s">
        <v>4006</v>
      </c>
      <c r="G375" s="19" t="s">
        <v>1370</v>
      </c>
    </row>
    <row r="376" spans="1:7" ht="14.25" customHeight="1">
      <c r="A376" s="45">
        <v>369</v>
      </c>
      <c r="B376" s="209" t="s">
        <v>4077</v>
      </c>
      <c r="C376" s="183" t="s">
        <v>4087</v>
      </c>
      <c r="D376" s="209" t="s">
        <v>1412</v>
      </c>
      <c r="E376" s="19" t="s">
        <v>4005</v>
      </c>
      <c r="F376" s="19" t="s">
        <v>4006</v>
      </c>
      <c r="G376" s="19" t="s">
        <v>1370</v>
      </c>
    </row>
    <row r="377" spans="1:7" ht="14.25" customHeight="1">
      <c r="A377" s="45">
        <v>370</v>
      </c>
      <c r="B377" s="209" t="s">
        <v>4155</v>
      </c>
      <c r="C377" s="183" t="s">
        <v>4156</v>
      </c>
      <c r="D377" s="209" t="s">
        <v>4119</v>
      </c>
      <c r="E377" s="19" t="s">
        <v>4005</v>
      </c>
      <c r="F377" s="19" t="s">
        <v>4006</v>
      </c>
      <c r="G377" s="19" t="s">
        <v>1370</v>
      </c>
    </row>
    <row r="378" spans="1:7" ht="14.25" customHeight="1">
      <c r="A378" s="45">
        <v>371</v>
      </c>
      <c r="B378" s="209" t="s">
        <v>4101</v>
      </c>
      <c r="C378" s="183" t="s">
        <v>4110</v>
      </c>
      <c r="D378" s="209" t="s">
        <v>1412</v>
      </c>
      <c r="E378" s="19" t="s">
        <v>4005</v>
      </c>
      <c r="F378" s="19" t="s">
        <v>4006</v>
      </c>
      <c r="G378" s="19" t="s">
        <v>1370</v>
      </c>
    </row>
    <row r="379" spans="1:7" ht="14.25" customHeight="1">
      <c r="A379" s="45">
        <v>372</v>
      </c>
      <c r="B379" s="209" t="s">
        <v>4076</v>
      </c>
      <c r="C379" s="183" t="s">
        <v>4086</v>
      </c>
      <c r="D379" s="209" t="s">
        <v>1412</v>
      </c>
      <c r="E379" s="19" t="s">
        <v>4005</v>
      </c>
      <c r="F379" s="19" t="s">
        <v>4006</v>
      </c>
      <c r="G379" s="19" t="s">
        <v>1370</v>
      </c>
    </row>
    <row r="380" spans="1:7" ht="14.25" customHeight="1">
      <c r="A380" s="45">
        <v>373</v>
      </c>
      <c r="B380" s="209" t="s">
        <v>4075</v>
      </c>
      <c r="C380" s="183" t="s">
        <v>4085</v>
      </c>
      <c r="D380" s="209" t="s">
        <v>1412</v>
      </c>
      <c r="E380" s="19" t="s">
        <v>4005</v>
      </c>
      <c r="F380" s="19" t="s">
        <v>4006</v>
      </c>
      <c r="G380" s="19" t="s">
        <v>1370</v>
      </c>
    </row>
    <row r="381" spans="1:7" ht="14.25" customHeight="1">
      <c r="A381" s="45">
        <v>374</v>
      </c>
      <c r="B381" s="209" t="s">
        <v>6711</v>
      </c>
      <c r="C381" s="183" t="s">
        <v>4103</v>
      </c>
      <c r="D381" s="209" t="s">
        <v>1412</v>
      </c>
      <c r="E381" s="19" t="s">
        <v>4005</v>
      </c>
      <c r="F381" s="19" t="s">
        <v>4006</v>
      </c>
      <c r="G381" s="19" t="s">
        <v>1370</v>
      </c>
    </row>
    <row r="382" spans="1:7" ht="14.25" customHeight="1">
      <c r="A382" s="45">
        <v>375</v>
      </c>
      <c r="B382" s="209" t="s">
        <v>4235</v>
      </c>
      <c r="C382" s="183" t="s">
        <v>4171</v>
      </c>
      <c r="D382" s="209" t="s">
        <v>4119</v>
      </c>
      <c r="E382" s="19" t="s">
        <v>4005</v>
      </c>
      <c r="F382" s="19" t="s">
        <v>4006</v>
      </c>
      <c r="G382" s="19" t="s">
        <v>1370</v>
      </c>
    </row>
    <row r="383" spans="1:7" ht="14.25" customHeight="1">
      <c r="A383" s="45">
        <v>376</v>
      </c>
      <c r="B383" s="317" t="s">
        <v>4194</v>
      </c>
      <c r="C383" s="317" t="s">
        <v>4195</v>
      </c>
      <c r="D383" s="317" t="s">
        <v>4187</v>
      </c>
      <c r="E383" s="19" t="s">
        <v>4005</v>
      </c>
      <c r="F383" s="19" t="s">
        <v>4006</v>
      </c>
      <c r="G383" s="19" t="s">
        <v>871</v>
      </c>
    </row>
    <row r="384" spans="1:7" ht="14.25" customHeight="1">
      <c r="A384" s="45">
        <v>377</v>
      </c>
      <c r="B384" s="317" t="s">
        <v>4192</v>
      </c>
      <c r="C384" s="317" t="s">
        <v>4193</v>
      </c>
      <c r="D384" s="317" t="s">
        <v>4187</v>
      </c>
      <c r="E384" s="19" t="s">
        <v>4005</v>
      </c>
      <c r="F384" s="19" t="s">
        <v>4006</v>
      </c>
      <c r="G384" s="19" t="s">
        <v>871</v>
      </c>
    </row>
    <row r="385" spans="1:7" ht="14.25" customHeight="1">
      <c r="A385" s="45">
        <v>378</v>
      </c>
      <c r="B385" s="317" t="s">
        <v>4196</v>
      </c>
      <c r="C385" s="317" t="s">
        <v>4197</v>
      </c>
      <c r="D385" s="317" t="s">
        <v>4187</v>
      </c>
      <c r="E385" s="19" t="s">
        <v>4005</v>
      </c>
      <c r="F385" s="19" t="s">
        <v>4006</v>
      </c>
      <c r="G385" s="19" t="s">
        <v>871</v>
      </c>
    </row>
    <row r="386" spans="1:7" ht="14.25" customHeight="1">
      <c r="A386" s="45">
        <v>379</v>
      </c>
      <c r="B386" s="317" t="s">
        <v>4189</v>
      </c>
      <c r="C386" s="317" t="s">
        <v>4190</v>
      </c>
      <c r="D386" s="317" t="s">
        <v>4187</v>
      </c>
      <c r="E386" s="19" t="s">
        <v>4005</v>
      </c>
      <c r="F386" s="19" t="s">
        <v>4006</v>
      </c>
      <c r="G386" s="19" t="s">
        <v>871</v>
      </c>
    </row>
    <row r="387" spans="1:7" ht="14.25" customHeight="1">
      <c r="A387" s="45">
        <v>380</v>
      </c>
      <c r="B387" s="317" t="s">
        <v>4185</v>
      </c>
      <c r="C387" s="317" t="s">
        <v>4186</v>
      </c>
      <c r="D387" s="317" t="s">
        <v>4187</v>
      </c>
      <c r="E387" s="19" t="s">
        <v>4005</v>
      </c>
      <c r="F387" s="19" t="s">
        <v>4006</v>
      </c>
      <c r="G387" s="19" t="s">
        <v>4184</v>
      </c>
    </row>
    <row r="388" spans="1:7" ht="14.25" customHeight="1">
      <c r="A388" s="45">
        <v>381</v>
      </c>
      <c r="B388" s="317" t="s">
        <v>4198</v>
      </c>
      <c r="C388" s="317" t="s">
        <v>4199</v>
      </c>
      <c r="D388" s="317" t="s">
        <v>4187</v>
      </c>
      <c r="E388" s="19" t="s">
        <v>4005</v>
      </c>
      <c r="F388" s="19" t="s">
        <v>4006</v>
      </c>
      <c r="G388" s="19" t="s">
        <v>871</v>
      </c>
    </row>
    <row r="389" spans="1:7" ht="14.25" customHeight="1">
      <c r="A389" s="45">
        <v>382</v>
      </c>
      <c r="B389" s="317" t="s">
        <v>5623</v>
      </c>
      <c r="C389" s="317" t="s">
        <v>4188</v>
      </c>
      <c r="D389" s="317" t="s">
        <v>4187</v>
      </c>
      <c r="E389" s="19" t="s">
        <v>4005</v>
      </c>
      <c r="F389" s="19" t="s">
        <v>4006</v>
      </c>
      <c r="G389" s="19" t="s">
        <v>871</v>
      </c>
    </row>
    <row r="390" spans="1:7" ht="14.25" customHeight="1">
      <c r="A390" s="45">
        <v>383</v>
      </c>
      <c r="B390" s="317" t="s">
        <v>5624</v>
      </c>
      <c r="C390" s="317" t="s">
        <v>4191</v>
      </c>
      <c r="D390" s="317" t="s">
        <v>4187</v>
      </c>
      <c r="E390" s="19" t="s">
        <v>4005</v>
      </c>
      <c r="F390" s="19" t="s">
        <v>4006</v>
      </c>
      <c r="G390" s="19" t="s">
        <v>871</v>
      </c>
    </row>
    <row r="391" spans="1:7" ht="14.25" customHeight="1">
      <c r="A391" s="45">
        <v>384</v>
      </c>
      <c r="B391" s="187" t="s">
        <v>2737</v>
      </c>
      <c r="C391" s="176" t="s">
        <v>2738</v>
      </c>
      <c r="D391" s="183" t="s">
        <v>2733</v>
      </c>
      <c r="E391" s="19" t="s">
        <v>2734</v>
      </c>
      <c r="F391" s="174" t="s">
        <v>2735</v>
      </c>
      <c r="G391" s="174" t="s">
        <v>2736</v>
      </c>
    </row>
    <row r="392" spans="1:7" ht="14.25" customHeight="1">
      <c r="A392" s="45">
        <v>385</v>
      </c>
      <c r="B392" s="187" t="s">
        <v>2730</v>
      </c>
      <c r="C392" s="176" t="s">
        <v>2731</v>
      </c>
      <c r="D392" s="183" t="s">
        <v>2712</v>
      </c>
      <c r="E392" s="19" t="s">
        <v>2727</v>
      </c>
      <c r="F392" s="174" t="s">
        <v>2732</v>
      </c>
      <c r="G392" s="174" t="s">
        <v>2715</v>
      </c>
    </row>
    <row r="393" spans="1:7" ht="14.25" customHeight="1">
      <c r="A393" s="45">
        <v>386</v>
      </c>
      <c r="B393" s="44" t="s">
        <v>552</v>
      </c>
      <c r="C393" s="44" t="s">
        <v>2459</v>
      </c>
      <c r="D393" s="44" t="s">
        <v>1509</v>
      </c>
      <c r="E393" s="174" t="s">
        <v>2476</v>
      </c>
      <c r="F393" s="174" t="s">
        <v>2477</v>
      </c>
      <c r="G393" s="174" t="s">
        <v>2312</v>
      </c>
    </row>
    <row r="394" spans="1:7" ht="14.25" customHeight="1">
      <c r="A394" s="45">
        <v>387</v>
      </c>
      <c r="B394" s="44" t="s">
        <v>556</v>
      </c>
      <c r="C394" s="44" t="s">
        <v>2461</v>
      </c>
      <c r="D394" s="44" t="s">
        <v>1509</v>
      </c>
      <c r="E394" s="174" t="s">
        <v>2476</v>
      </c>
      <c r="F394" s="174" t="s">
        <v>2477</v>
      </c>
      <c r="G394" s="174" t="s">
        <v>2313</v>
      </c>
    </row>
    <row r="395" spans="1:7" ht="14.25" customHeight="1">
      <c r="A395" s="45">
        <v>388</v>
      </c>
      <c r="B395" s="44" t="s">
        <v>562</v>
      </c>
      <c r="C395" s="44" t="s">
        <v>2465</v>
      </c>
      <c r="D395" s="44" t="s">
        <v>1509</v>
      </c>
      <c r="E395" s="174" t="s">
        <v>2476</v>
      </c>
      <c r="F395" s="174" t="s">
        <v>2477</v>
      </c>
      <c r="G395" s="174" t="s">
        <v>2313</v>
      </c>
    </row>
    <row r="396" spans="1:7" ht="14.25" customHeight="1">
      <c r="A396" s="45">
        <v>389</v>
      </c>
      <c r="B396" s="44" t="s">
        <v>567</v>
      </c>
      <c r="C396" s="44" t="s">
        <v>2467</v>
      </c>
      <c r="D396" s="44" t="s">
        <v>1509</v>
      </c>
      <c r="E396" s="174" t="s">
        <v>2476</v>
      </c>
      <c r="F396" s="174" t="s">
        <v>2477</v>
      </c>
      <c r="G396" s="174" t="s">
        <v>2313</v>
      </c>
    </row>
    <row r="397" spans="1:7" ht="14.25" customHeight="1">
      <c r="A397" s="45">
        <v>390</v>
      </c>
      <c r="B397" s="44" t="s">
        <v>554</v>
      </c>
      <c r="C397" s="44" t="s">
        <v>2460</v>
      </c>
      <c r="D397" s="44" t="s">
        <v>1509</v>
      </c>
      <c r="E397" s="174" t="s">
        <v>2476</v>
      </c>
      <c r="F397" s="174" t="s">
        <v>2477</v>
      </c>
      <c r="G397" s="174" t="s">
        <v>2313</v>
      </c>
    </row>
    <row r="398" spans="1:7" ht="14.25" customHeight="1">
      <c r="A398" s="45">
        <v>391</v>
      </c>
      <c r="B398" s="44" t="s">
        <v>2456</v>
      </c>
      <c r="C398" s="44" t="s">
        <v>2470</v>
      </c>
      <c r="D398" s="44" t="s">
        <v>1509</v>
      </c>
      <c r="E398" s="174" t="s">
        <v>2476</v>
      </c>
      <c r="F398" s="174" t="s">
        <v>2477</v>
      </c>
      <c r="G398" s="174" t="s">
        <v>2313</v>
      </c>
    </row>
    <row r="399" spans="1:7" ht="14.25" customHeight="1">
      <c r="A399" s="45">
        <v>392</v>
      </c>
      <c r="B399" s="44" t="s">
        <v>2457</v>
      </c>
      <c r="C399" s="44" t="s">
        <v>2472</v>
      </c>
      <c r="D399" s="44" t="s">
        <v>1509</v>
      </c>
      <c r="E399" s="174" t="s">
        <v>2476</v>
      </c>
      <c r="F399" s="174" t="s">
        <v>2477</v>
      </c>
      <c r="G399" s="174" t="s">
        <v>2313</v>
      </c>
    </row>
    <row r="400" spans="1:7" ht="14.25" customHeight="1">
      <c r="A400" s="45">
        <v>393</v>
      </c>
      <c r="B400" s="44" t="s">
        <v>592</v>
      </c>
      <c r="C400" s="44" t="s">
        <v>2475</v>
      </c>
      <c r="D400" s="44" t="s">
        <v>1509</v>
      </c>
      <c r="E400" s="174" t="s">
        <v>2476</v>
      </c>
      <c r="F400" s="174" t="s">
        <v>2477</v>
      </c>
      <c r="G400" s="174" t="s">
        <v>2313</v>
      </c>
    </row>
    <row r="401" spans="1:7" ht="14.25" customHeight="1">
      <c r="A401" s="45">
        <v>394</v>
      </c>
      <c r="B401" s="44" t="s">
        <v>580</v>
      </c>
      <c r="C401" s="44" t="s">
        <v>2473</v>
      </c>
      <c r="D401" s="44" t="s">
        <v>1509</v>
      </c>
      <c r="E401" s="174" t="s">
        <v>2476</v>
      </c>
      <c r="F401" s="174" t="s">
        <v>2477</v>
      </c>
      <c r="G401" s="174" t="s">
        <v>2313</v>
      </c>
    </row>
    <row r="402" spans="1:7" ht="14.25" customHeight="1">
      <c r="A402" s="45">
        <v>395</v>
      </c>
      <c r="B402" s="44" t="s">
        <v>550</v>
      </c>
      <c r="C402" s="44" t="s">
        <v>2458</v>
      </c>
      <c r="D402" s="44" t="s">
        <v>1509</v>
      </c>
      <c r="E402" s="174" t="s">
        <v>2476</v>
      </c>
      <c r="F402" s="174" t="s">
        <v>2477</v>
      </c>
      <c r="G402" s="174" t="s">
        <v>2312</v>
      </c>
    </row>
    <row r="403" spans="1:7" ht="14.25" customHeight="1">
      <c r="A403" s="45">
        <v>396</v>
      </c>
      <c r="B403" s="44" t="s">
        <v>564</v>
      </c>
      <c r="C403" s="44" t="s">
        <v>2466</v>
      </c>
      <c r="D403" s="44" t="s">
        <v>1509</v>
      </c>
      <c r="E403" s="174" t="s">
        <v>2476</v>
      </c>
      <c r="F403" s="174" t="s">
        <v>2477</v>
      </c>
      <c r="G403" s="174" t="s">
        <v>2313</v>
      </c>
    </row>
    <row r="404" spans="1:7" ht="14.25" customHeight="1">
      <c r="A404" s="45">
        <v>397</v>
      </c>
      <c r="B404" s="44" t="s">
        <v>515</v>
      </c>
      <c r="C404" s="44" t="s">
        <v>2462</v>
      </c>
      <c r="D404" s="44" t="s">
        <v>1509</v>
      </c>
      <c r="E404" s="174" t="s">
        <v>2476</v>
      </c>
      <c r="F404" s="174" t="s">
        <v>2477</v>
      </c>
      <c r="G404" s="174" t="s">
        <v>2313</v>
      </c>
    </row>
    <row r="405" spans="1:7" ht="14.25" customHeight="1">
      <c r="A405" s="45">
        <v>398</v>
      </c>
      <c r="B405" s="44" t="s">
        <v>560</v>
      </c>
      <c r="C405" s="44" t="s">
        <v>2464</v>
      </c>
      <c r="D405" s="44" t="s">
        <v>1509</v>
      </c>
      <c r="E405" s="174" t="s">
        <v>2476</v>
      </c>
      <c r="F405" s="174" t="s">
        <v>2477</v>
      </c>
      <c r="G405" s="174" t="s">
        <v>2313</v>
      </c>
    </row>
    <row r="406" spans="1:7" ht="14.25" customHeight="1">
      <c r="A406" s="45">
        <v>399</v>
      </c>
      <c r="B406" s="44" t="s">
        <v>2455</v>
      </c>
      <c r="C406" s="44" t="s">
        <v>2469</v>
      </c>
      <c r="D406" s="44" t="s">
        <v>1509</v>
      </c>
      <c r="E406" s="174" t="s">
        <v>2476</v>
      </c>
      <c r="F406" s="174" t="s">
        <v>2477</v>
      </c>
      <c r="G406" s="174" t="s">
        <v>2313</v>
      </c>
    </row>
    <row r="407" spans="1:7" ht="14.25" customHeight="1">
      <c r="A407" s="45">
        <v>400</v>
      </c>
      <c r="B407" s="44" t="s">
        <v>586</v>
      </c>
      <c r="C407" s="44" t="s">
        <v>2474</v>
      </c>
      <c r="D407" s="44" t="s">
        <v>1509</v>
      </c>
      <c r="E407" s="174" t="s">
        <v>2476</v>
      </c>
      <c r="F407" s="174" t="s">
        <v>2477</v>
      </c>
      <c r="G407" s="174" t="s">
        <v>2313</v>
      </c>
    </row>
    <row r="408" spans="1:7" ht="14.25" customHeight="1">
      <c r="A408" s="45">
        <v>401</v>
      </c>
      <c r="B408" s="44" t="s">
        <v>2454</v>
      </c>
      <c r="C408" s="44" t="s">
        <v>2468</v>
      </c>
      <c r="D408" s="44" t="s">
        <v>1509</v>
      </c>
      <c r="E408" s="174" t="s">
        <v>2476</v>
      </c>
      <c r="F408" s="174" t="s">
        <v>2477</v>
      </c>
      <c r="G408" s="174" t="s">
        <v>2313</v>
      </c>
    </row>
    <row r="409" spans="1:7" ht="14.25" customHeight="1">
      <c r="A409" s="45">
        <v>402</v>
      </c>
      <c r="B409" s="44" t="s">
        <v>578</v>
      </c>
      <c r="C409" s="44" t="s">
        <v>2471</v>
      </c>
      <c r="D409" s="44" t="s">
        <v>1509</v>
      </c>
      <c r="E409" s="174" t="s">
        <v>2476</v>
      </c>
      <c r="F409" s="174" t="s">
        <v>2477</v>
      </c>
      <c r="G409" s="174" t="s">
        <v>2313</v>
      </c>
    </row>
    <row r="410" spans="1:7" ht="14.25" customHeight="1">
      <c r="A410" s="45">
        <v>403</v>
      </c>
      <c r="B410" s="44" t="s">
        <v>558</v>
      </c>
      <c r="C410" s="44" t="s">
        <v>2463</v>
      </c>
      <c r="D410" s="44" t="s">
        <v>1509</v>
      </c>
      <c r="E410" s="174" t="s">
        <v>2476</v>
      </c>
      <c r="F410" s="174" t="s">
        <v>2477</v>
      </c>
      <c r="G410" s="174" t="s">
        <v>2313</v>
      </c>
    </row>
    <row r="411" spans="1:7" ht="14.25" customHeight="1">
      <c r="A411" s="45">
        <v>404</v>
      </c>
      <c r="B411" s="199" t="s">
        <v>2726</v>
      </c>
      <c r="C411" s="55" t="s">
        <v>2814</v>
      </c>
      <c r="D411" s="175" t="s">
        <v>2712</v>
      </c>
      <c r="E411" s="19" t="s">
        <v>2727</v>
      </c>
      <c r="F411" s="174" t="s">
        <v>2728</v>
      </c>
      <c r="G411" s="174" t="s">
        <v>2729</v>
      </c>
    </row>
    <row r="412" spans="1:7" ht="14.25" customHeight="1">
      <c r="A412" s="45">
        <v>405</v>
      </c>
      <c r="B412" s="316" t="s">
        <v>4043</v>
      </c>
      <c r="C412" s="316" t="s">
        <v>4044</v>
      </c>
      <c r="D412" s="316" t="s">
        <v>1412</v>
      </c>
      <c r="E412" s="19" t="s">
        <v>4005</v>
      </c>
      <c r="F412" s="19" t="s">
        <v>4050</v>
      </c>
      <c r="G412" s="19" t="s">
        <v>2617</v>
      </c>
    </row>
    <row r="413" spans="1:7" ht="14.25" customHeight="1">
      <c r="A413" s="45">
        <v>406</v>
      </c>
      <c r="B413" s="199" t="s">
        <v>6691</v>
      </c>
      <c r="C413" s="199" t="s">
        <v>6692</v>
      </c>
      <c r="D413" s="199" t="s">
        <v>6693</v>
      </c>
      <c r="E413" s="19" t="s">
        <v>4005</v>
      </c>
      <c r="F413" s="19" t="s">
        <v>4050</v>
      </c>
      <c r="G413" s="19" t="s">
        <v>2617</v>
      </c>
    </row>
    <row r="414" spans="1:7" ht="14.25" customHeight="1">
      <c r="A414" s="45">
        <v>407</v>
      </c>
      <c r="B414" s="199" t="s">
        <v>6694</v>
      </c>
      <c r="C414" s="199" t="s">
        <v>6695</v>
      </c>
      <c r="D414" s="199" t="s">
        <v>2712</v>
      </c>
      <c r="E414" s="19" t="s">
        <v>4005</v>
      </c>
      <c r="F414" s="19" t="s">
        <v>4050</v>
      </c>
      <c r="G414" s="19" t="s">
        <v>2617</v>
      </c>
    </row>
    <row r="415" spans="1:7" ht="14.25" customHeight="1">
      <c r="A415" s="45">
        <v>408</v>
      </c>
      <c r="B415" s="199" t="s">
        <v>6696</v>
      </c>
      <c r="C415" s="199" t="s">
        <v>6697</v>
      </c>
      <c r="D415" s="199" t="s">
        <v>6693</v>
      </c>
      <c r="E415" s="19" t="s">
        <v>4005</v>
      </c>
      <c r="F415" s="19" t="s">
        <v>4050</v>
      </c>
      <c r="G415" s="19" t="s">
        <v>2617</v>
      </c>
    </row>
    <row r="416" spans="1:7" ht="14.25" customHeight="1">
      <c r="A416" s="45">
        <v>409</v>
      </c>
      <c r="B416" s="209" t="s">
        <v>4157</v>
      </c>
      <c r="C416" s="183" t="s">
        <v>4158</v>
      </c>
      <c r="D416" s="209" t="s">
        <v>4159</v>
      </c>
      <c r="E416" s="19" t="s">
        <v>4005</v>
      </c>
      <c r="F416" s="19" t="s">
        <v>4050</v>
      </c>
      <c r="G416" s="19" t="s">
        <v>1370</v>
      </c>
    </row>
    <row r="417" spans="1:7" ht="14.25" customHeight="1">
      <c r="A417" s="45">
        <v>410</v>
      </c>
      <c r="B417" s="255" t="s">
        <v>4200</v>
      </c>
      <c r="C417" s="255" t="s">
        <v>4201</v>
      </c>
      <c r="D417" s="317" t="s">
        <v>2712</v>
      </c>
      <c r="E417" s="19" t="s">
        <v>4005</v>
      </c>
      <c r="F417" s="19" t="s">
        <v>4050</v>
      </c>
      <c r="G417" s="19" t="s">
        <v>871</v>
      </c>
    </row>
    <row r="418" spans="1:7" ht="14.25" customHeight="1">
      <c r="A418" s="45">
        <v>411</v>
      </c>
      <c r="B418" s="50" t="s">
        <v>2959</v>
      </c>
      <c r="C418" s="183" t="s">
        <v>4226</v>
      </c>
      <c r="D418" s="183" t="s">
        <v>3655</v>
      </c>
      <c r="E418" s="19" t="s">
        <v>2871</v>
      </c>
      <c r="F418" s="19" t="s">
        <v>2951</v>
      </c>
      <c r="G418" s="19" t="s">
        <v>2616</v>
      </c>
    </row>
    <row r="419" spans="1:7" ht="14.25" customHeight="1">
      <c r="A419" s="45">
        <v>412</v>
      </c>
      <c r="B419" s="50" t="s">
        <v>2957</v>
      </c>
      <c r="C419" s="183" t="s">
        <v>4222</v>
      </c>
      <c r="D419" s="183" t="s">
        <v>3655</v>
      </c>
      <c r="E419" s="19" t="s">
        <v>2871</v>
      </c>
      <c r="F419" s="19" t="s">
        <v>2951</v>
      </c>
      <c r="G419" s="19" t="s">
        <v>2616</v>
      </c>
    </row>
    <row r="420" spans="1:7" ht="14.25" customHeight="1">
      <c r="A420" s="45">
        <v>413</v>
      </c>
      <c r="B420" s="50" t="s">
        <v>2955</v>
      </c>
      <c r="C420" s="183" t="s">
        <v>4221</v>
      </c>
      <c r="D420" s="183" t="s">
        <v>3655</v>
      </c>
      <c r="E420" s="19" t="s">
        <v>2871</v>
      </c>
      <c r="F420" s="19" t="s">
        <v>2951</v>
      </c>
      <c r="G420" s="19" t="s">
        <v>2616</v>
      </c>
    </row>
    <row r="421" spans="1:7" ht="14.25" customHeight="1">
      <c r="A421" s="45">
        <v>414</v>
      </c>
      <c r="B421" s="50" t="s">
        <v>2958</v>
      </c>
      <c r="C421" s="183" t="s">
        <v>3034</v>
      </c>
      <c r="D421" s="183" t="s">
        <v>3655</v>
      </c>
      <c r="E421" s="19" t="s">
        <v>2871</v>
      </c>
      <c r="F421" s="19" t="s">
        <v>2951</v>
      </c>
      <c r="G421" s="19" t="s">
        <v>2616</v>
      </c>
    </row>
    <row r="422" spans="1:7" ht="14.25" customHeight="1">
      <c r="A422" s="45">
        <v>415</v>
      </c>
      <c r="B422" s="50" t="s">
        <v>2960</v>
      </c>
      <c r="C422" s="183" t="s">
        <v>4227</v>
      </c>
      <c r="D422" s="183" t="s">
        <v>3655</v>
      </c>
      <c r="E422" s="19" t="s">
        <v>2871</v>
      </c>
      <c r="F422" s="19" t="s">
        <v>2951</v>
      </c>
      <c r="G422" s="19" t="s">
        <v>2616</v>
      </c>
    </row>
    <row r="423" spans="1:7" ht="14.25" customHeight="1">
      <c r="A423" s="45">
        <v>416</v>
      </c>
      <c r="B423" s="50" t="s">
        <v>2953</v>
      </c>
      <c r="C423" s="183" t="s">
        <v>4223</v>
      </c>
      <c r="D423" s="183" t="s">
        <v>3655</v>
      </c>
      <c r="E423" s="19" t="s">
        <v>2871</v>
      </c>
      <c r="F423" s="19" t="s">
        <v>2951</v>
      </c>
      <c r="G423" s="19" t="s">
        <v>2880</v>
      </c>
    </row>
    <row r="424" spans="1:7" ht="14.25" customHeight="1">
      <c r="A424" s="45">
        <v>417</v>
      </c>
      <c r="B424" s="50" t="s">
        <v>2940</v>
      </c>
      <c r="C424" s="183" t="s">
        <v>4220</v>
      </c>
      <c r="D424" s="183" t="s">
        <v>3655</v>
      </c>
      <c r="E424" s="19" t="s">
        <v>2871</v>
      </c>
      <c r="F424" s="19" t="s">
        <v>2951</v>
      </c>
      <c r="G424" s="19" t="s">
        <v>2616</v>
      </c>
    </row>
    <row r="425" spans="1:7" ht="14.25" customHeight="1">
      <c r="A425" s="45">
        <v>418</v>
      </c>
      <c r="B425" s="50" t="s">
        <v>2961</v>
      </c>
      <c r="C425" s="183" t="s">
        <v>3035</v>
      </c>
      <c r="D425" s="183" t="s">
        <v>3655</v>
      </c>
      <c r="E425" s="19" t="s">
        <v>2871</v>
      </c>
      <c r="F425" s="19" t="s">
        <v>2951</v>
      </c>
      <c r="G425" s="19" t="s">
        <v>2616</v>
      </c>
    </row>
    <row r="426" spans="1:7" ht="14.25" customHeight="1">
      <c r="A426" s="45">
        <v>419</v>
      </c>
      <c r="B426" s="50" t="s">
        <v>2962</v>
      </c>
      <c r="C426" s="183" t="s">
        <v>3036</v>
      </c>
      <c r="D426" s="183" t="s">
        <v>3655</v>
      </c>
      <c r="E426" s="19" t="s">
        <v>2871</v>
      </c>
      <c r="F426" s="19" t="s">
        <v>2951</v>
      </c>
      <c r="G426" s="19" t="s">
        <v>2616</v>
      </c>
    </row>
    <row r="427" spans="1:7" ht="14.25" customHeight="1">
      <c r="A427" s="45">
        <v>420</v>
      </c>
      <c r="B427" s="50" t="s">
        <v>2952</v>
      </c>
      <c r="C427" s="183" t="s">
        <v>3033</v>
      </c>
      <c r="D427" s="183" t="s">
        <v>3655</v>
      </c>
      <c r="E427" s="19" t="s">
        <v>2871</v>
      </c>
      <c r="F427" s="19" t="s">
        <v>2951</v>
      </c>
      <c r="G427" s="19" t="s">
        <v>2880</v>
      </c>
    </row>
    <row r="428" spans="1:7" ht="14.25" customHeight="1">
      <c r="A428" s="45">
        <v>421</v>
      </c>
      <c r="B428" s="50" t="s">
        <v>2956</v>
      </c>
      <c r="C428" s="183" t="s">
        <v>4225</v>
      </c>
      <c r="D428" s="183" t="s">
        <v>3655</v>
      </c>
      <c r="E428" s="19" t="s">
        <v>2871</v>
      </c>
      <c r="F428" s="19" t="s">
        <v>2951</v>
      </c>
      <c r="G428" s="19" t="s">
        <v>2616</v>
      </c>
    </row>
    <row r="429" spans="1:7" ht="14.25" customHeight="1">
      <c r="A429" s="45">
        <v>422</v>
      </c>
      <c r="B429" s="50" t="s">
        <v>2954</v>
      </c>
      <c r="C429" s="183" t="s">
        <v>4224</v>
      </c>
      <c r="D429" s="183" t="s">
        <v>3655</v>
      </c>
      <c r="E429" s="19" t="s">
        <v>2871</v>
      </c>
      <c r="F429" s="19" t="s">
        <v>2951</v>
      </c>
      <c r="G429" s="19" t="s">
        <v>2616</v>
      </c>
    </row>
    <row r="430" spans="1:7" ht="14.25" customHeight="1">
      <c r="A430" s="45">
        <v>423</v>
      </c>
      <c r="B430" s="254" t="s">
        <v>2963</v>
      </c>
      <c r="C430" s="255" t="s">
        <v>4228</v>
      </c>
      <c r="D430" s="255" t="s">
        <v>3654</v>
      </c>
      <c r="E430" s="19" t="s">
        <v>2871</v>
      </c>
      <c r="F430" s="19" t="s">
        <v>2951</v>
      </c>
      <c r="G430" s="19" t="s">
        <v>2881</v>
      </c>
    </row>
    <row r="431" spans="1:7" ht="14.25" customHeight="1">
      <c r="A431" s="45">
        <v>424</v>
      </c>
      <c r="B431" s="254" t="s">
        <v>2964</v>
      </c>
      <c r="C431" s="255" t="s">
        <v>3037</v>
      </c>
      <c r="D431" s="255" t="s">
        <v>3654</v>
      </c>
      <c r="E431" s="19" t="s">
        <v>2871</v>
      </c>
      <c r="F431" s="19" t="s">
        <v>2951</v>
      </c>
      <c r="G431" s="19" t="s">
        <v>2881</v>
      </c>
    </row>
    <row r="432" spans="1:7" ht="14.25" customHeight="1">
      <c r="A432" s="45">
        <v>425</v>
      </c>
      <c r="B432" s="254" t="s">
        <v>2965</v>
      </c>
      <c r="C432" s="255" t="s">
        <v>4229</v>
      </c>
      <c r="D432" s="255" t="s">
        <v>3654</v>
      </c>
      <c r="E432" s="19" t="s">
        <v>2871</v>
      </c>
      <c r="F432" s="19" t="s">
        <v>2951</v>
      </c>
      <c r="G432" s="19" t="s">
        <v>2881</v>
      </c>
    </row>
    <row r="433" spans="1:7" ht="14.25" customHeight="1">
      <c r="A433" s="45">
        <v>426</v>
      </c>
      <c r="B433" s="316" t="s">
        <v>3570</v>
      </c>
      <c r="C433" s="55" t="s">
        <v>3790</v>
      </c>
      <c r="D433" s="36" t="s">
        <v>1412</v>
      </c>
      <c r="E433" s="19" t="s">
        <v>2871</v>
      </c>
      <c r="F433" s="19" t="s">
        <v>3662</v>
      </c>
      <c r="G433" s="19" t="s">
        <v>3657</v>
      </c>
    </row>
    <row r="434" spans="1:7" ht="14.25" customHeight="1">
      <c r="A434" s="45">
        <v>427</v>
      </c>
      <c r="B434" s="316" t="s">
        <v>3569</v>
      </c>
      <c r="C434" s="55" t="s">
        <v>3788</v>
      </c>
      <c r="D434" s="36" t="s">
        <v>1412</v>
      </c>
      <c r="E434" s="19" t="s">
        <v>2871</v>
      </c>
      <c r="F434" s="19" t="s">
        <v>3662</v>
      </c>
      <c r="G434" s="19" t="s">
        <v>3663</v>
      </c>
    </row>
    <row r="435" spans="1:7" ht="14.25" customHeight="1">
      <c r="A435" s="45">
        <v>428</v>
      </c>
      <c r="B435" s="316" t="s">
        <v>3572</v>
      </c>
      <c r="C435" s="55" t="s">
        <v>3792</v>
      </c>
      <c r="D435" s="36" t="s">
        <v>1412</v>
      </c>
      <c r="E435" s="19" t="s">
        <v>2871</v>
      </c>
      <c r="F435" s="19" t="s">
        <v>3662</v>
      </c>
      <c r="G435" s="19" t="s">
        <v>3657</v>
      </c>
    </row>
    <row r="436" spans="1:7" ht="14.25" customHeight="1">
      <c r="A436" s="45">
        <v>429</v>
      </c>
      <c r="B436" s="316" t="s">
        <v>3571</v>
      </c>
      <c r="C436" s="55" t="s">
        <v>3791</v>
      </c>
      <c r="D436" s="36" t="s">
        <v>1412</v>
      </c>
      <c r="E436" s="19" t="s">
        <v>2871</v>
      </c>
      <c r="F436" s="19" t="s">
        <v>3662</v>
      </c>
      <c r="G436" s="19" t="s">
        <v>3657</v>
      </c>
    </row>
    <row r="437" spans="1:7" ht="14.25" customHeight="1">
      <c r="A437" s="45">
        <v>430</v>
      </c>
      <c r="B437" s="316" t="s">
        <v>3496</v>
      </c>
      <c r="C437" s="55" t="s">
        <v>3789</v>
      </c>
      <c r="D437" s="36" t="s">
        <v>1412</v>
      </c>
      <c r="E437" s="19" t="s">
        <v>2871</v>
      </c>
      <c r="F437" s="19" t="s">
        <v>3662</v>
      </c>
      <c r="G437" s="19" t="s">
        <v>3657</v>
      </c>
    </row>
    <row r="438" spans="1:7" ht="14.25" customHeight="1">
      <c r="A438" s="45">
        <v>431</v>
      </c>
      <c r="B438" s="209" t="s">
        <v>3574</v>
      </c>
      <c r="C438" s="183" t="s">
        <v>3796</v>
      </c>
      <c r="D438" s="50" t="s">
        <v>1412</v>
      </c>
      <c r="E438" s="19" t="s">
        <v>2871</v>
      </c>
      <c r="F438" s="19" t="s">
        <v>3662</v>
      </c>
      <c r="G438" s="19" t="s">
        <v>3658</v>
      </c>
    </row>
    <row r="439" spans="1:7" ht="14.25" customHeight="1">
      <c r="A439" s="45">
        <v>432</v>
      </c>
      <c r="B439" s="209" t="s">
        <v>3497</v>
      </c>
      <c r="C439" s="183" t="s">
        <v>3793</v>
      </c>
      <c r="D439" s="50" t="s">
        <v>1412</v>
      </c>
      <c r="E439" s="19" t="s">
        <v>2871</v>
      </c>
      <c r="F439" s="19" t="s">
        <v>3662</v>
      </c>
      <c r="G439" s="19" t="s">
        <v>3658</v>
      </c>
    </row>
    <row r="440" spans="1:7" ht="14.25" customHeight="1">
      <c r="A440" s="45">
        <v>433</v>
      </c>
      <c r="B440" s="209" t="s">
        <v>3573</v>
      </c>
      <c r="C440" s="183" t="s">
        <v>3795</v>
      </c>
      <c r="D440" s="50" t="s">
        <v>1412</v>
      </c>
      <c r="E440" s="19" t="s">
        <v>2871</v>
      </c>
      <c r="F440" s="19" t="s">
        <v>3662</v>
      </c>
      <c r="G440" s="19" t="s">
        <v>3658</v>
      </c>
    </row>
    <row r="441" spans="1:7" ht="14.25" customHeight="1">
      <c r="A441" s="45">
        <v>434</v>
      </c>
      <c r="B441" s="209" t="s">
        <v>3498</v>
      </c>
      <c r="C441" s="183" t="s">
        <v>3794</v>
      </c>
      <c r="D441" s="50" t="s">
        <v>1412</v>
      </c>
      <c r="E441" s="19" t="s">
        <v>2871</v>
      </c>
      <c r="F441" s="19" t="s">
        <v>3662</v>
      </c>
      <c r="G441" s="19" t="s">
        <v>3658</v>
      </c>
    </row>
    <row r="442" spans="1:7" ht="14.25" customHeight="1">
      <c r="A442" s="45">
        <v>435</v>
      </c>
      <c r="B442" s="317" t="s">
        <v>3575</v>
      </c>
      <c r="C442" s="255" t="s">
        <v>3798</v>
      </c>
      <c r="D442" s="254" t="s">
        <v>1412</v>
      </c>
      <c r="E442" s="19" t="s">
        <v>2871</v>
      </c>
      <c r="F442" s="19" t="s">
        <v>3662</v>
      </c>
      <c r="G442" s="19" t="s">
        <v>3659</v>
      </c>
    </row>
    <row r="443" spans="1:7" ht="14.25" customHeight="1">
      <c r="A443" s="45">
        <v>436</v>
      </c>
      <c r="B443" s="317" t="s">
        <v>3499</v>
      </c>
      <c r="C443" s="255" t="s">
        <v>3797</v>
      </c>
      <c r="D443" s="254" t="s">
        <v>1412</v>
      </c>
      <c r="E443" s="19" t="s">
        <v>2871</v>
      </c>
      <c r="F443" s="19" t="s">
        <v>3662</v>
      </c>
      <c r="G443" s="19" t="s">
        <v>3659</v>
      </c>
    </row>
    <row r="444" spans="1:7" ht="14.25" customHeight="1">
      <c r="A444" s="45">
        <v>437</v>
      </c>
      <c r="B444" s="317" t="s">
        <v>3500</v>
      </c>
      <c r="C444" s="255" t="s">
        <v>3800</v>
      </c>
      <c r="D444" s="254" t="s">
        <v>1412</v>
      </c>
      <c r="E444" s="19" t="s">
        <v>2871</v>
      </c>
      <c r="F444" s="19" t="s">
        <v>3662</v>
      </c>
      <c r="G444" s="19" t="s">
        <v>3659</v>
      </c>
    </row>
    <row r="445" spans="1:7" ht="14.25" customHeight="1">
      <c r="A445" s="45">
        <v>438</v>
      </c>
      <c r="B445" s="318" t="s">
        <v>3576</v>
      </c>
      <c r="C445" s="265" t="s">
        <v>3799</v>
      </c>
      <c r="D445" s="51" t="s">
        <v>1412</v>
      </c>
      <c r="E445" s="19" t="s">
        <v>2871</v>
      </c>
      <c r="F445" s="19" t="s">
        <v>3662</v>
      </c>
      <c r="G445" s="19" t="s">
        <v>3660</v>
      </c>
    </row>
    <row r="446" spans="1:7" ht="14.25" customHeight="1">
      <c r="A446" s="45">
        <v>439</v>
      </c>
      <c r="B446" s="318" t="s">
        <v>3501</v>
      </c>
      <c r="C446" s="265" t="s">
        <v>3801</v>
      </c>
      <c r="D446" s="51" t="s">
        <v>1412</v>
      </c>
      <c r="E446" s="19" t="s">
        <v>2871</v>
      </c>
      <c r="F446" s="19" t="s">
        <v>3662</v>
      </c>
      <c r="G446" s="19" t="s">
        <v>3660</v>
      </c>
    </row>
    <row r="447" spans="1:7" ht="14.25" customHeight="1">
      <c r="A447" s="45">
        <v>440</v>
      </c>
      <c r="B447" s="318" t="s">
        <v>3577</v>
      </c>
      <c r="C447" s="265" t="s">
        <v>3802</v>
      </c>
      <c r="D447" s="51" t="s">
        <v>1412</v>
      </c>
      <c r="E447" s="19" t="s">
        <v>2871</v>
      </c>
      <c r="F447" s="19" t="s">
        <v>3662</v>
      </c>
      <c r="G447" s="19" t="s">
        <v>3660</v>
      </c>
    </row>
    <row r="448" spans="1:7" ht="14.25" customHeight="1">
      <c r="A448" s="45">
        <v>441</v>
      </c>
      <c r="B448" s="56" t="s">
        <v>3648</v>
      </c>
      <c r="C448" s="56" t="s">
        <v>3907</v>
      </c>
      <c r="D448" s="44" t="s">
        <v>1412</v>
      </c>
      <c r="E448" s="19" t="s">
        <v>2871</v>
      </c>
      <c r="F448" s="19" t="s">
        <v>3662</v>
      </c>
      <c r="G448" s="19" t="s">
        <v>3661</v>
      </c>
    </row>
    <row r="449" spans="1:7" ht="14.25" customHeight="1">
      <c r="A449" s="45">
        <v>442</v>
      </c>
      <c r="B449" s="56" t="s">
        <v>3589</v>
      </c>
      <c r="C449" s="56" t="s">
        <v>3906</v>
      </c>
      <c r="D449" s="44" t="s">
        <v>1412</v>
      </c>
      <c r="E449" s="19" t="s">
        <v>2871</v>
      </c>
      <c r="F449" s="19" t="s">
        <v>3662</v>
      </c>
      <c r="G449" s="19" t="s">
        <v>3661</v>
      </c>
    </row>
    <row r="450" spans="1:7" ht="14.25" customHeight="1">
      <c r="A450" s="45">
        <v>443</v>
      </c>
      <c r="B450" s="56" t="s">
        <v>3587</v>
      </c>
      <c r="C450" s="56" t="s">
        <v>3804</v>
      </c>
      <c r="D450" s="44" t="s">
        <v>1412</v>
      </c>
      <c r="E450" s="19" t="s">
        <v>2871</v>
      </c>
      <c r="F450" s="19" t="s">
        <v>3662</v>
      </c>
      <c r="G450" s="19" t="s">
        <v>3661</v>
      </c>
    </row>
    <row r="451" spans="1:7" ht="14.25" customHeight="1">
      <c r="A451" s="45">
        <v>444</v>
      </c>
      <c r="B451" s="56" t="s">
        <v>3588</v>
      </c>
      <c r="C451" s="56" t="s">
        <v>3806</v>
      </c>
      <c r="D451" s="44" t="s">
        <v>1412</v>
      </c>
      <c r="E451" s="19" t="s">
        <v>2871</v>
      </c>
      <c r="F451" s="19" t="s">
        <v>3662</v>
      </c>
      <c r="G451" s="19" t="s">
        <v>3661</v>
      </c>
    </row>
    <row r="452" spans="1:7" ht="14.25" customHeight="1">
      <c r="A452" s="45">
        <v>445</v>
      </c>
      <c r="B452" s="56" t="s">
        <v>3645</v>
      </c>
      <c r="C452" s="56" t="s">
        <v>3803</v>
      </c>
      <c r="D452" s="44" t="s">
        <v>1412</v>
      </c>
      <c r="E452" s="19" t="s">
        <v>2871</v>
      </c>
      <c r="F452" s="19" t="s">
        <v>3662</v>
      </c>
      <c r="G452" s="19" t="s">
        <v>3661</v>
      </c>
    </row>
    <row r="453" spans="1:7" ht="14.25" customHeight="1">
      <c r="A453" s="45">
        <v>446</v>
      </c>
      <c r="B453" s="56" t="s">
        <v>3647</v>
      </c>
      <c r="C453" s="56" t="s">
        <v>3805</v>
      </c>
      <c r="D453" s="44" t="s">
        <v>1412</v>
      </c>
      <c r="E453" s="19" t="s">
        <v>2871</v>
      </c>
      <c r="F453" s="19" t="s">
        <v>3662</v>
      </c>
      <c r="G453" s="19" t="s">
        <v>3661</v>
      </c>
    </row>
    <row r="454" spans="1:7" ht="14.25" customHeight="1">
      <c r="A454" s="45">
        <v>447</v>
      </c>
      <c r="B454" s="36" t="s">
        <v>1732</v>
      </c>
      <c r="C454" s="55" t="s">
        <v>3043</v>
      </c>
      <c r="D454" s="55" t="s">
        <v>3654</v>
      </c>
      <c r="E454" s="19" t="s">
        <v>3022</v>
      </c>
      <c r="F454" s="19" t="s">
        <v>3023</v>
      </c>
      <c r="G454" s="19" t="s">
        <v>736</v>
      </c>
    </row>
    <row r="455" spans="1:7" ht="14.25" customHeight="1">
      <c r="A455" s="45">
        <v>448</v>
      </c>
      <c r="B455" s="36" t="s">
        <v>2892</v>
      </c>
      <c r="C455" s="55" t="s">
        <v>3044</v>
      </c>
      <c r="D455" s="55" t="s">
        <v>3654</v>
      </c>
      <c r="E455" s="19" t="s">
        <v>3022</v>
      </c>
      <c r="F455" s="19" t="s">
        <v>3023</v>
      </c>
      <c r="G455" s="19" t="s">
        <v>736</v>
      </c>
    </row>
    <row r="456" spans="1:7" ht="14.25" customHeight="1">
      <c r="A456" s="45">
        <v>449</v>
      </c>
      <c r="B456" s="55" t="s">
        <v>3039</v>
      </c>
      <c r="C456" s="55" t="s">
        <v>3041</v>
      </c>
      <c r="D456" s="55" t="s">
        <v>3654</v>
      </c>
      <c r="E456" s="19" t="s">
        <v>3022</v>
      </c>
      <c r="F456" s="19" t="s">
        <v>3023</v>
      </c>
      <c r="G456" s="19" t="s">
        <v>736</v>
      </c>
    </row>
    <row r="457" spans="1:7" ht="14.25" customHeight="1">
      <c r="A457" s="45">
        <v>450</v>
      </c>
      <c r="B457" s="55" t="s">
        <v>3024</v>
      </c>
      <c r="C457" s="55" t="s">
        <v>3045</v>
      </c>
      <c r="D457" s="55" t="s">
        <v>3654</v>
      </c>
      <c r="E457" s="19" t="s">
        <v>3022</v>
      </c>
      <c r="F457" s="19" t="s">
        <v>3023</v>
      </c>
      <c r="G457" s="19" t="s">
        <v>736</v>
      </c>
    </row>
    <row r="458" spans="1:7" ht="14.25" customHeight="1">
      <c r="A458" s="45">
        <v>451</v>
      </c>
      <c r="B458" s="55" t="s">
        <v>3040</v>
      </c>
      <c r="C458" s="55" t="s">
        <v>3042</v>
      </c>
      <c r="D458" s="55" t="s">
        <v>3654</v>
      </c>
      <c r="E458" s="19" t="s">
        <v>3022</v>
      </c>
      <c r="F458" s="19" t="s">
        <v>3023</v>
      </c>
      <c r="G458" s="19" t="s">
        <v>736</v>
      </c>
    </row>
    <row r="459" spans="1:7" ht="14.25" customHeight="1">
      <c r="A459" s="45">
        <v>452</v>
      </c>
      <c r="B459" s="55" t="s">
        <v>3264</v>
      </c>
      <c r="C459" s="55" t="s">
        <v>3038</v>
      </c>
      <c r="D459" s="55" t="s">
        <v>3654</v>
      </c>
      <c r="E459" s="19" t="s">
        <v>3022</v>
      </c>
      <c r="F459" s="19" t="s">
        <v>3023</v>
      </c>
      <c r="G459" s="19" t="s">
        <v>736</v>
      </c>
    </row>
    <row r="460" spans="1:7" ht="14.25" customHeight="1">
      <c r="A460" s="45">
        <v>453</v>
      </c>
      <c r="B460" s="36" t="s">
        <v>3003</v>
      </c>
      <c r="C460" s="55" t="s">
        <v>3046</v>
      </c>
      <c r="D460" s="55" t="s">
        <v>3654</v>
      </c>
      <c r="E460" s="19" t="s">
        <v>3022</v>
      </c>
      <c r="F460" s="19" t="s">
        <v>3023</v>
      </c>
      <c r="G460" s="19" t="s">
        <v>736</v>
      </c>
    </row>
    <row r="461" spans="1:7" ht="14.25" customHeight="1">
      <c r="A461" s="45">
        <v>454</v>
      </c>
      <c r="B461" s="183" t="s">
        <v>3053</v>
      </c>
      <c r="C461" s="183" t="s">
        <v>3057</v>
      </c>
      <c r="D461" s="50" t="s">
        <v>1412</v>
      </c>
      <c r="E461" s="19" t="s">
        <v>3022</v>
      </c>
      <c r="F461" s="19" t="s">
        <v>3023</v>
      </c>
      <c r="G461" s="19" t="s">
        <v>1370</v>
      </c>
    </row>
    <row r="462" spans="1:7" ht="14.25" customHeight="1">
      <c r="A462" s="45">
        <v>455</v>
      </c>
      <c r="B462" s="183" t="s">
        <v>3028</v>
      </c>
      <c r="C462" s="183" t="s">
        <v>3063</v>
      </c>
      <c r="D462" s="50" t="s">
        <v>1412</v>
      </c>
      <c r="E462" s="19" t="s">
        <v>3022</v>
      </c>
      <c r="F462" s="19" t="s">
        <v>3023</v>
      </c>
      <c r="G462" s="19" t="s">
        <v>1370</v>
      </c>
    </row>
    <row r="463" spans="1:7" ht="14.25" customHeight="1">
      <c r="A463" s="45">
        <v>456</v>
      </c>
      <c r="B463" s="183" t="s">
        <v>3051</v>
      </c>
      <c r="C463" s="183" t="s">
        <v>3055</v>
      </c>
      <c r="D463" s="50" t="s">
        <v>1412</v>
      </c>
      <c r="E463" s="19" t="s">
        <v>3022</v>
      </c>
      <c r="F463" s="19" t="s">
        <v>3023</v>
      </c>
      <c r="G463" s="19" t="s">
        <v>1370</v>
      </c>
    </row>
    <row r="464" spans="1:7" ht="14.25" customHeight="1">
      <c r="A464" s="45">
        <v>457</v>
      </c>
      <c r="B464" s="50" t="s">
        <v>3009</v>
      </c>
      <c r="C464" s="183" t="s">
        <v>3061</v>
      </c>
      <c r="D464" s="50" t="s">
        <v>1412</v>
      </c>
      <c r="E464" s="19" t="s">
        <v>3022</v>
      </c>
      <c r="F464" s="19" t="s">
        <v>3023</v>
      </c>
      <c r="G464" s="19" t="s">
        <v>1370</v>
      </c>
    </row>
    <row r="465" spans="1:7" ht="14.25" customHeight="1">
      <c r="A465" s="45">
        <v>458</v>
      </c>
      <c r="B465" s="50" t="s">
        <v>3010</v>
      </c>
      <c r="C465" s="183" t="s">
        <v>3062</v>
      </c>
      <c r="D465" s="50" t="s">
        <v>1412</v>
      </c>
      <c r="E465" s="19" t="s">
        <v>3022</v>
      </c>
      <c r="F465" s="19" t="s">
        <v>3023</v>
      </c>
      <c r="G465" s="19" t="s">
        <v>1370</v>
      </c>
    </row>
    <row r="466" spans="1:7" ht="14.25" customHeight="1">
      <c r="A466" s="45">
        <v>459</v>
      </c>
      <c r="B466" s="183" t="s">
        <v>3026</v>
      </c>
      <c r="C466" s="183" t="s">
        <v>3026</v>
      </c>
      <c r="D466" s="50" t="s">
        <v>1412</v>
      </c>
      <c r="E466" s="19" t="s">
        <v>3022</v>
      </c>
      <c r="F466" s="19" t="s">
        <v>3023</v>
      </c>
      <c r="G466" s="19" t="s">
        <v>1370</v>
      </c>
    </row>
    <row r="467" spans="1:7" ht="14.25" customHeight="1">
      <c r="A467" s="45">
        <v>460</v>
      </c>
      <c r="B467" s="183" t="s">
        <v>3054</v>
      </c>
      <c r="C467" s="183" t="s">
        <v>3058</v>
      </c>
      <c r="D467" s="50" t="s">
        <v>1412</v>
      </c>
      <c r="E467" s="19" t="s">
        <v>3022</v>
      </c>
      <c r="F467" s="19" t="s">
        <v>3023</v>
      </c>
      <c r="G467" s="19" t="s">
        <v>1370</v>
      </c>
    </row>
    <row r="468" spans="1:7" ht="14.25" customHeight="1">
      <c r="A468" s="45">
        <v>461</v>
      </c>
      <c r="B468" s="183" t="s">
        <v>3025</v>
      </c>
      <c r="C468" s="183" t="s">
        <v>3048</v>
      </c>
      <c r="D468" s="50" t="s">
        <v>1412</v>
      </c>
      <c r="E468" s="19" t="s">
        <v>3022</v>
      </c>
      <c r="F468" s="19" t="s">
        <v>3023</v>
      </c>
      <c r="G468" s="19" t="s">
        <v>1370</v>
      </c>
    </row>
    <row r="469" spans="1:7" ht="14.25" customHeight="1">
      <c r="A469" s="45">
        <v>462</v>
      </c>
      <c r="B469" s="50" t="s">
        <v>3004</v>
      </c>
      <c r="C469" s="183" t="s">
        <v>3047</v>
      </c>
      <c r="D469" s="50" t="s">
        <v>1412</v>
      </c>
      <c r="E469" s="19" t="s">
        <v>3022</v>
      </c>
      <c r="F469" s="19" t="s">
        <v>3023</v>
      </c>
      <c r="G469" s="19" t="s">
        <v>1370</v>
      </c>
    </row>
    <row r="470" spans="1:7" ht="14.25" customHeight="1">
      <c r="A470" s="45">
        <v>463</v>
      </c>
      <c r="B470" s="50" t="s">
        <v>3005</v>
      </c>
      <c r="C470" s="183" t="s">
        <v>3049</v>
      </c>
      <c r="D470" s="50" t="s">
        <v>1412</v>
      </c>
      <c r="E470" s="19" t="s">
        <v>3022</v>
      </c>
      <c r="F470" s="19" t="s">
        <v>3023</v>
      </c>
      <c r="G470" s="19" t="s">
        <v>1370</v>
      </c>
    </row>
    <row r="471" spans="1:7" ht="14.25" customHeight="1">
      <c r="A471" s="45">
        <v>464</v>
      </c>
      <c r="B471" s="50" t="s">
        <v>3006</v>
      </c>
      <c r="C471" s="183" t="s">
        <v>3050</v>
      </c>
      <c r="D471" s="50" t="s">
        <v>1412</v>
      </c>
      <c r="E471" s="19" t="s">
        <v>3022</v>
      </c>
      <c r="F471" s="19" t="s">
        <v>3023</v>
      </c>
      <c r="G471" s="19" t="s">
        <v>1370</v>
      </c>
    </row>
    <row r="472" spans="1:7" ht="14.25" customHeight="1">
      <c r="A472" s="45">
        <v>465</v>
      </c>
      <c r="B472" s="50" t="s">
        <v>3007</v>
      </c>
      <c r="C472" s="183" t="s">
        <v>2885</v>
      </c>
      <c r="D472" s="50" t="s">
        <v>1412</v>
      </c>
      <c r="E472" s="19" t="s">
        <v>3022</v>
      </c>
      <c r="F472" s="19" t="s">
        <v>3023</v>
      </c>
      <c r="G472" s="19" t="s">
        <v>1370</v>
      </c>
    </row>
    <row r="473" spans="1:7" ht="14.25" customHeight="1">
      <c r="A473" s="45">
        <v>466</v>
      </c>
      <c r="B473" s="183" t="s">
        <v>3052</v>
      </c>
      <c r="C473" s="183" t="s">
        <v>3056</v>
      </c>
      <c r="D473" s="50" t="s">
        <v>1412</v>
      </c>
      <c r="E473" s="19" t="s">
        <v>3022</v>
      </c>
      <c r="F473" s="19" t="s">
        <v>3023</v>
      </c>
      <c r="G473" s="19" t="s">
        <v>1370</v>
      </c>
    </row>
    <row r="474" spans="1:7" ht="14.25" customHeight="1">
      <c r="A474" s="45">
        <v>467</v>
      </c>
      <c r="B474" s="183" t="s">
        <v>3027</v>
      </c>
      <c r="C474" s="183" t="s">
        <v>3059</v>
      </c>
      <c r="D474" s="50" t="s">
        <v>1412</v>
      </c>
      <c r="E474" s="19" t="s">
        <v>3022</v>
      </c>
      <c r="F474" s="19" t="s">
        <v>3023</v>
      </c>
      <c r="G474" s="19" t="s">
        <v>1370</v>
      </c>
    </row>
    <row r="475" spans="1:7" ht="14.25" customHeight="1">
      <c r="A475" s="45">
        <v>468</v>
      </c>
      <c r="B475" s="50" t="s">
        <v>3008</v>
      </c>
      <c r="C475" s="183" t="s">
        <v>3060</v>
      </c>
      <c r="D475" s="50" t="s">
        <v>1412</v>
      </c>
      <c r="E475" s="19" t="s">
        <v>3022</v>
      </c>
      <c r="F475" s="19" t="s">
        <v>3023</v>
      </c>
      <c r="G475" s="19" t="s">
        <v>1370</v>
      </c>
    </row>
    <row r="476" spans="1:7" ht="14.25" customHeight="1">
      <c r="A476" s="45">
        <v>469</v>
      </c>
      <c r="B476" s="254" t="s">
        <v>3013</v>
      </c>
      <c r="C476" s="255" t="s">
        <v>3067</v>
      </c>
      <c r="D476" s="254" t="s">
        <v>1412</v>
      </c>
      <c r="E476" s="19" t="s">
        <v>3022</v>
      </c>
      <c r="F476" s="19" t="s">
        <v>3023</v>
      </c>
      <c r="G476" s="19" t="s">
        <v>871</v>
      </c>
    </row>
    <row r="477" spans="1:7" ht="14.25" customHeight="1">
      <c r="A477" s="45">
        <v>470</v>
      </c>
      <c r="B477" s="254" t="s">
        <v>2902</v>
      </c>
      <c r="C477" s="255" t="s">
        <v>3069</v>
      </c>
      <c r="D477" s="254" t="s">
        <v>1412</v>
      </c>
      <c r="E477" s="19" t="s">
        <v>3022</v>
      </c>
      <c r="F477" s="19" t="s">
        <v>3023</v>
      </c>
      <c r="G477" s="19" t="s">
        <v>871</v>
      </c>
    </row>
    <row r="478" spans="1:7" ht="14.25" customHeight="1">
      <c r="A478" s="45">
        <v>471</v>
      </c>
      <c r="B478" s="254" t="s">
        <v>3012</v>
      </c>
      <c r="C478" s="255" t="s">
        <v>3066</v>
      </c>
      <c r="D478" s="254" t="s">
        <v>1412</v>
      </c>
      <c r="E478" s="19" t="s">
        <v>3022</v>
      </c>
      <c r="F478" s="19" t="s">
        <v>3023</v>
      </c>
      <c r="G478" s="19" t="s">
        <v>871</v>
      </c>
    </row>
    <row r="479" spans="1:7" ht="14.25" customHeight="1">
      <c r="A479" s="45">
        <v>472</v>
      </c>
      <c r="B479" s="255" t="s">
        <v>3029</v>
      </c>
      <c r="C479" s="255" t="s">
        <v>3068</v>
      </c>
      <c r="D479" s="254" t="s">
        <v>1412</v>
      </c>
      <c r="E479" s="19" t="s">
        <v>3022</v>
      </c>
      <c r="F479" s="19" t="s">
        <v>3023</v>
      </c>
      <c r="G479" s="19" t="s">
        <v>871</v>
      </c>
    </row>
    <row r="480" spans="1:7" ht="14.25" customHeight="1">
      <c r="A480" s="45">
        <v>473</v>
      </c>
      <c r="B480" s="255" t="s">
        <v>3282</v>
      </c>
      <c r="C480" s="255" t="s">
        <v>3065</v>
      </c>
      <c r="D480" s="254" t="s">
        <v>1412</v>
      </c>
      <c r="E480" s="19" t="s">
        <v>3022</v>
      </c>
      <c r="F480" s="19" t="s">
        <v>3023</v>
      </c>
      <c r="G480" s="19" t="s">
        <v>871</v>
      </c>
    </row>
    <row r="481" spans="1:7" ht="14.25" customHeight="1">
      <c r="A481" s="45">
        <v>474</v>
      </c>
      <c r="B481" s="254" t="s">
        <v>3011</v>
      </c>
      <c r="C481" s="255" t="s">
        <v>3064</v>
      </c>
      <c r="D481" s="254" t="s">
        <v>1412</v>
      </c>
      <c r="E481" s="19" t="s">
        <v>3022</v>
      </c>
      <c r="F481" s="19" t="s">
        <v>3023</v>
      </c>
      <c r="G481" s="19" t="s">
        <v>871</v>
      </c>
    </row>
    <row r="482" spans="1:7" ht="14.25" customHeight="1">
      <c r="A482" s="45">
        <v>475</v>
      </c>
      <c r="B482" s="51" t="s">
        <v>3016</v>
      </c>
      <c r="C482" s="265" t="s">
        <v>3073</v>
      </c>
      <c r="D482" s="51" t="s">
        <v>1412</v>
      </c>
      <c r="E482" s="19" t="s">
        <v>3022</v>
      </c>
      <c r="F482" s="19" t="s">
        <v>3023</v>
      </c>
      <c r="G482" s="19" t="s">
        <v>1376</v>
      </c>
    </row>
    <row r="483" spans="1:7" ht="14.25" customHeight="1">
      <c r="A483" s="45">
        <v>476</v>
      </c>
      <c r="B483" s="51" t="s">
        <v>3014</v>
      </c>
      <c r="C483" s="265" t="s">
        <v>3070</v>
      </c>
      <c r="D483" s="51" t="s">
        <v>1412</v>
      </c>
      <c r="E483" s="19" t="s">
        <v>3022</v>
      </c>
      <c r="F483" s="19" t="s">
        <v>3023</v>
      </c>
      <c r="G483" s="19" t="s">
        <v>1376</v>
      </c>
    </row>
    <row r="484" spans="1:7" ht="14.25" customHeight="1">
      <c r="A484" s="45">
        <v>477</v>
      </c>
      <c r="B484" s="51" t="s">
        <v>3015</v>
      </c>
      <c r="C484" s="265" t="s">
        <v>3072</v>
      </c>
      <c r="D484" s="51" t="s">
        <v>1412</v>
      </c>
      <c r="E484" s="19" t="s">
        <v>3022</v>
      </c>
      <c r="F484" s="19" t="s">
        <v>3023</v>
      </c>
      <c r="G484" s="19" t="s">
        <v>1376</v>
      </c>
    </row>
    <row r="485" spans="1:7" ht="14.25" customHeight="1">
      <c r="A485" s="45">
        <v>478</v>
      </c>
      <c r="B485" s="265" t="s">
        <v>3030</v>
      </c>
      <c r="C485" s="265" t="s">
        <v>3071</v>
      </c>
      <c r="D485" s="51" t="s">
        <v>1412</v>
      </c>
      <c r="E485" s="19" t="s">
        <v>3022</v>
      </c>
      <c r="F485" s="19" t="s">
        <v>3023</v>
      </c>
      <c r="G485" s="19" t="s">
        <v>1376</v>
      </c>
    </row>
    <row r="486" spans="1:7" ht="14.25" customHeight="1">
      <c r="A486" s="45">
        <v>479</v>
      </c>
      <c r="B486" s="44" t="s">
        <v>3018</v>
      </c>
      <c r="C486" s="56" t="s">
        <v>3076</v>
      </c>
      <c r="D486" s="44" t="s">
        <v>1412</v>
      </c>
      <c r="E486" s="19" t="s">
        <v>3022</v>
      </c>
      <c r="F486" s="19" t="s">
        <v>3023</v>
      </c>
      <c r="G486" s="19" t="s">
        <v>96</v>
      </c>
    </row>
    <row r="487" spans="1:7" ht="14.25" customHeight="1">
      <c r="A487" s="45">
        <v>480</v>
      </c>
      <c r="B487" s="44" t="s">
        <v>3017</v>
      </c>
      <c r="C487" s="56" t="s">
        <v>3075</v>
      </c>
      <c r="D487" s="44" t="s">
        <v>1412</v>
      </c>
      <c r="E487" s="19" t="s">
        <v>3022</v>
      </c>
      <c r="F487" s="19" t="s">
        <v>3023</v>
      </c>
      <c r="G487" s="19" t="s">
        <v>96</v>
      </c>
    </row>
    <row r="488" spans="1:7" ht="14.25" customHeight="1">
      <c r="A488" s="45">
        <v>481</v>
      </c>
      <c r="B488" s="56" t="s">
        <v>3031</v>
      </c>
      <c r="C488" s="56" t="s">
        <v>3031</v>
      </c>
      <c r="D488" s="44" t="s">
        <v>1412</v>
      </c>
      <c r="E488" s="19" t="s">
        <v>3022</v>
      </c>
      <c r="F488" s="19" t="s">
        <v>3023</v>
      </c>
      <c r="G488" s="19" t="s">
        <v>96</v>
      </c>
    </row>
    <row r="489" spans="1:7" ht="14.25" customHeight="1">
      <c r="A489" s="45">
        <v>482</v>
      </c>
      <c r="B489" s="56" t="s">
        <v>3032</v>
      </c>
      <c r="C489" s="56" t="s">
        <v>3079</v>
      </c>
      <c r="D489" s="44" t="s">
        <v>1412</v>
      </c>
      <c r="E489" s="19" t="s">
        <v>3022</v>
      </c>
      <c r="F489" s="19" t="s">
        <v>3023</v>
      </c>
      <c r="G489" s="19" t="s">
        <v>96</v>
      </c>
    </row>
    <row r="490" spans="1:7" ht="14.25" customHeight="1">
      <c r="A490" s="45">
        <v>483</v>
      </c>
      <c r="B490" s="44" t="s">
        <v>3020</v>
      </c>
      <c r="C490" s="56" t="s">
        <v>3078</v>
      </c>
      <c r="D490" s="44" t="s">
        <v>1412</v>
      </c>
      <c r="E490" s="19" t="s">
        <v>3022</v>
      </c>
      <c r="F490" s="19" t="s">
        <v>3023</v>
      </c>
      <c r="G490" s="19" t="s">
        <v>96</v>
      </c>
    </row>
    <row r="491" spans="1:7" ht="14.25" customHeight="1">
      <c r="A491" s="45">
        <v>484</v>
      </c>
      <c r="B491" s="56" t="s">
        <v>3201</v>
      </c>
      <c r="C491" s="56" t="s">
        <v>3074</v>
      </c>
      <c r="D491" s="44" t="s">
        <v>1412</v>
      </c>
      <c r="E491" s="19" t="s">
        <v>3022</v>
      </c>
      <c r="F491" s="19" t="s">
        <v>3023</v>
      </c>
      <c r="G491" s="19" t="s">
        <v>96</v>
      </c>
    </row>
    <row r="492" spans="1:7" ht="14.25" customHeight="1">
      <c r="A492" s="45">
        <v>485</v>
      </c>
      <c r="B492" s="44" t="s">
        <v>3019</v>
      </c>
      <c r="C492" s="56" t="s">
        <v>3077</v>
      </c>
      <c r="D492" s="44" t="s">
        <v>1412</v>
      </c>
      <c r="E492" s="19" t="s">
        <v>3022</v>
      </c>
      <c r="F492" s="19" t="s">
        <v>3023</v>
      </c>
      <c r="G492" s="19" t="s">
        <v>96</v>
      </c>
    </row>
    <row r="493" spans="1:7" ht="14.25" customHeight="1">
      <c r="A493" s="45">
        <v>486</v>
      </c>
      <c r="B493" s="44" t="s">
        <v>3021</v>
      </c>
      <c r="C493" s="56" t="s">
        <v>3080</v>
      </c>
      <c r="D493" s="44" t="s">
        <v>1412</v>
      </c>
      <c r="E493" s="19" t="s">
        <v>3022</v>
      </c>
      <c r="F493" s="19" t="s">
        <v>3023</v>
      </c>
      <c r="G493" s="19" t="s">
        <v>96</v>
      </c>
    </row>
    <row r="494" spans="1:7" ht="14.25" customHeight="1">
      <c r="A494" s="45">
        <v>487</v>
      </c>
      <c r="B494" s="56" t="s">
        <v>3001</v>
      </c>
      <c r="C494" s="56" t="s">
        <v>3196</v>
      </c>
      <c r="D494" s="44" t="s">
        <v>1412</v>
      </c>
      <c r="E494" s="19" t="s">
        <v>2871</v>
      </c>
      <c r="F494" s="19" t="s">
        <v>3199</v>
      </c>
      <c r="G494" s="19" t="s">
        <v>2538</v>
      </c>
    </row>
    <row r="495" spans="1:7" ht="14.25" customHeight="1">
      <c r="A495" s="45">
        <v>488</v>
      </c>
      <c r="B495" s="56" t="s">
        <v>3000</v>
      </c>
      <c r="C495" s="56" t="s">
        <v>3198</v>
      </c>
      <c r="D495" s="44" t="s">
        <v>1412</v>
      </c>
      <c r="E495" s="19" t="s">
        <v>2871</v>
      </c>
      <c r="F495" s="19" t="s">
        <v>3199</v>
      </c>
      <c r="G495" s="19" t="s">
        <v>2538</v>
      </c>
    </row>
    <row r="496" spans="1:7" ht="14.25" customHeight="1">
      <c r="A496" s="45">
        <v>489</v>
      </c>
      <c r="B496" s="56" t="s">
        <v>3002</v>
      </c>
      <c r="C496" s="56" t="s">
        <v>3197</v>
      </c>
      <c r="D496" s="44" t="s">
        <v>1412</v>
      </c>
      <c r="E496" s="19" t="s">
        <v>2871</v>
      </c>
      <c r="F496" s="19" t="s">
        <v>3199</v>
      </c>
      <c r="G496" s="19" t="s">
        <v>2538</v>
      </c>
    </row>
    <row r="497" spans="1:7" ht="14.25" customHeight="1">
      <c r="A497" s="45">
        <v>490</v>
      </c>
      <c r="B497" s="36" t="s">
        <v>2930</v>
      </c>
      <c r="C497" s="55" t="s">
        <v>3086</v>
      </c>
      <c r="D497" s="36" t="s">
        <v>1412</v>
      </c>
      <c r="E497" s="19" t="s">
        <v>2871</v>
      </c>
      <c r="F497" s="19" t="s">
        <v>2935</v>
      </c>
      <c r="G497" s="19" t="s">
        <v>736</v>
      </c>
    </row>
    <row r="498" spans="1:7" ht="14.25" customHeight="1">
      <c r="A498" s="45">
        <v>491</v>
      </c>
      <c r="B498" s="36" t="s">
        <v>2929</v>
      </c>
      <c r="C498" s="55" t="s">
        <v>3085</v>
      </c>
      <c r="D498" s="36" t="s">
        <v>1412</v>
      </c>
      <c r="E498" s="19" t="s">
        <v>2871</v>
      </c>
      <c r="F498" s="19" t="s">
        <v>2935</v>
      </c>
      <c r="G498" s="19" t="s">
        <v>2617</v>
      </c>
    </row>
    <row r="499" spans="1:7" ht="14.25" customHeight="1">
      <c r="A499" s="45">
        <v>492</v>
      </c>
      <c r="B499" s="36" t="s">
        <v>2928</v>
      </c>
      <c r="C499" s="55" t="s">
        <v>3084</v>
      </c>
      <c r="D499" s="36" t="s">
        <v>1412</v>
      </c>
      <c r="E499" s="19" t="s">
        <v>2871</v>
      </c>
      <c r="F499" s="19" t="s">
        <v>2935</v>
      </c>
      <c r="G499" s="19" t="s">
        <v>736</v>
      </c>
    </row>
    <row r="500" spans="1:7" ht="14.25" customHeight="1">
      <c r="A500" s="45">
        <v>493</v>
      </c>
      <c r="B500" s="36" t="s">
        <v>2932</v>
      </c>
      <c r="C500" s="55" t="s">
        <v>3088</v>
      </c>
      <c r="D500" s="36" t="s">
        <v>1412</v>
      </c>
      <c r="E500" s="19" t="s">
        <v>2871</v>
      </c>
      <c r="F500" s="19" t="s">
        <v>2935</v>
      </c>
      <c r="G500" s="19" t="s">
        <v>736</v>
      </c>
    </row>
    <row r="501" spans="1:7" ht="14.25" customHeight="1">
      <c r="A501" s="45">
        <v>494</v>
      </c>
      <c r="B501" s="36" t="s">
        <v>2926</v>
      </c>
      <c r="C501" s="55" t="s">
        <v>3082</v>
      </c>
      <c r="D501" s="36" t="s">
        <v>1412</v>
      </c>
      <c r="E501" s="19" t="s">
        <v>2871</v>
      </c>
      <c r="F501" s="19" t="s">
        <v>2935</v>
      </c>
      <c r="G501" s="19" t="s">
        <v>2936</v>
      </c>
    </row>
    <row r="502" spans="1:7" ht="14.25" customHeight="1">
      <c r="A502" s="45">
        <v>495</v>
      </c>
      <c r="B502" s="36" t="s">
        <v>2927</v>
      </c>
      <c r="C502" s="55" t="s">
        <v>3083</v>
      </c>
      <c r="D502" s="36" t="s">
        <v>1412</v>
      </c>
      <c r="E502" s="19" t="s">
        <v>2871</v>
      </c>
      <c r="F502" s="19" t="s">
        <v>2935</v>
      </c>
      <c r="G502" s="19" t="s">
        <v>2617</v>
      </c>
    </row>
    <row r="503" spans="1:7" ht="14.25" customHeight="1">
      <c r="A503" s="45">
        <v>496</v>
      </c>
      <c r="B503" s="36" t="s">
        <v>2925</v>
      </c>
      <c r="C503" s="55" t="s">
        <v>3081</v>
      </c>
      <c r="D503" s="36" t="s">
        <v>1412</v>
      </c>
      <c r="E503" s="19" t="s">
        <v>2871</v>
      </c>
      <c r="F503" s="19" t="s">
        <v>2935</v>
      </c>
      <c r="G503" s="19" t="s">
        <v>2879</v>
      </c>
    </row>
    <row r="504" spans="1:7" ht="14.25" customHeight="1">
      <c r="A504" s="45">
        <v>497</v>
      </c>
      <c r="B504" s="36" t="s">
        <v>2933</v>
      </c>
      <c r="C504" s="55" t="s">
        <v>3089</v>
      </c>
      <c r="D504" s="36" t="s">
        <v>1412</v>
      </c>
      <c r="E504" s="19" t="s">
        <v>2871</v>
      </c>
      <c r="F504" s="19" t="s">
        <v>2935</v>
      </c>
      <c r="G504" s="19" t="s">
        <v>2617</v>
      </c>
    </row>
    <row r="505" spans="1:7" ht="14.25" customHeight="1">
      <c r="A505" s="45">
        <v>498</v>
      </c>
      <c r="B505" s="36" t="s">
        <v>2934</v>
      </c>
      <c r="C505" s="55" t="s">
        <v>3090</v>
      </c>
      <c r="D505" s="36" t="s">
        <v>1412</v>
      </c>
      <c r="E505" s="19" t="s">
        <v>2871</v>
      </c>
      <c r="F505" s="19" t="s">
        <v>2935</v>
      </c>
      <c r="G505" s="19" t="s">
        <v>736</v>
      </c>
    </row>
    <row r="506" spans="1:7" ht="14.25" customHeight="1">
      <c r="A506" s="45">
        <v>499</v>
      </c>
      <c r="B506" s="36" t="s">
        <v>2931</v>
      </c>
      <c r="C506" s="55" t="s">
        <v>3087</v>
      </c>
      <c r="D506" s="36" t="s">
        <v>1412</v>
      </c>
      <c r="E506" s="19" t="s">
        <v>2871</v>
      </c>
      <c r="F506" s="19" t="s">
        <v>2935</v>
      </c>
      <c r="G506" s="19" t="s">
        <v>2617</v>
      </c>
    </row>
    <row r="507" spans="1:7" ht="14.25" customHeight="1">
      <c r="A507" s="45">
        <v>500</v>
      </c>
      <c r="B507" s="36" t="s">
        <v>2939</v>
      </c>
      <c r="C507" s="55" t="s">
        <v>3093</v>
      </c>
      <c r="D507" s="36" t="s">
        <v>1412</v>
      </c>
      <c r="E507" s="19" t="s">
        <v>2871</v>
      </c>
      <c r="F507" s="19" t="s">
        <v>2950</v>
      </c>
      <c r="G507" s="19" t="s">
        <v>2617</v>
      </c>
    </row>
    <row r="508" spans="1:7" ht="14.25" customHeight="1">
      <c r="A508" s="45">
        <v>501</v>
      </c>
      <c r="B508" s="36" t="s">
        <v>2941</v>
      </c>
      <c r="C508" s="55" t="s">
        <v>3095</v>
      </c>
      <c r="D508" s="36" t="s">
        <v>1412</v>
      </c>
      <c r="E508" s="19" t="s">
        <v>2871</v>
      </c>
      <c r="F508" s="19" t="s">
        <v>2950</v>
      </c>
      <c r="G508" s="19" t="s">
        <v>2617</v>
      </c>
    </row>
    <row r="509" spans="1:7" ht="14.25" customHeight="1">
      <c r="A509" s="45">
        <v>502</v>
      </c>
      <c r="B509" s="36" t="s">
        <v>2938</v>
      </c>
      <c r="C509" s="55" t="s">
        <v>3092</v>
      </c>
      <c r="D509" s="36" t="s">
        <v>1412</v>
      </c>
      <c r="E509" s="19" t="s">
        <v>2871</v>
      </c>
      <c r="F509" s="19" t="s">
        <v>2950</v>
      </c>
      <c r="G509" s="19" t="s">
        <v>736</v>
      </c>
    </row>
    <row r="510" spans="1:7" ht="14.25" customHeight="1">
      <c r="A510" s="45">
        <v>503</v>
      </c>
      <c r="B510" s="36" t="s">
        <v>2942</v>
      </c>
      <c r="C510" s="55" t="s">
        <v>3096</v>
      </c>
      <c r="D510" s="36" t="s">
        <v>1412</v>
      </c>
      <c r="E510" s="19" t="s">
        <v>2871</v>
      </c>
      <c r="F510" s="19" t="s">
        <v>2950</v>
      </c>
      <c r="G510" s="19" t="s">
        <v>736</v>
      </c>
    </row>
    <row r="511" spans="1:7" ht="14.25" customHeight="1">
      <c r="A511" s="45">
        <v>504</v>
      </c>
      <c r="B511" s="36" t="s">
        <v>2943</v>
      </c>
      <c r="C511" s="55" t="s">
        <v>3097</v>
      </c>
      <c r="D511" s="36" t="s">
        <v>1412</v>
      </c>
      <c r="E511" s="19" t="s">
        <v>2871</v>
      </c>
      <c r="F511" s="19" t="s">
        <v>2950</v>
      </c>
      <c r="G511" s="19" t="s">
        <v>736</v>
      </c>
    </row>
    <row r="512" spans="1:7" ht="14.25" customHeight="1">
      <c r="A512" s="45">
        <v>505</v>
      </c>
      <c r="B512" s="36" t="s">
        <v>2940</v>
      </c>
      <c r="C512" s="55" t="s">
        <v>3094</v>
      </c>
      <c r="D512" s="36" t="s">
        <v>1412</v>
      </c>
      <c r="E512" s="19" t="s">
        <v>2871</v>
      </c>
      <c r="F512" s="19" t="s">
        <v>2950</v>
      </c>
      <c r="G512" s="19" t="s">
        <v>736</v>
      </c>
    </row>
    <row r="513" spans="1:7" ht="14.25" customHeight="1">
      <c r="A513" s="45">
        <v>506</v>
      </c>
      <c r="B513" s="36" t="s">
        <v>2937</v>
      </c>
      <c r="C513" s="55" t="s">
        <v>3091</v>
      </c>
      <c r="D513" s="36" t="s">
        <v>1412</v>
      </c>
      <c r="E513" s="19" t="s">
        <v>2871</v>
      </c>
      <c r="F513" s="19" t="s">
        <v>2950</v>
      </c>
      <c r="G513" s="19" t="s">
        <v>2879</v>
      </c>
    </row>
    <row r="514" spans="1:7" ht="14.25" customHeight="1">
      <c r="A514" s="45">
        <v>507</v>
      </c>
      <c r="B514" s="50" t="s">
        <v>2944</v>
      </c>
      <c r="C514" s="183" t="s">
        <v>3098</v>
      </c>
      <c r="D514" s="50" t="s">
        <v>1412</v>
      </c>
      <c r="E514" s="19" t="s">
        <v>2871</v>
      </c>
      <c r="F514" s="19" t="s">
        <v>2950</v>
      </c>
      <c r="G514" s="19" t="s">
        <v>2880</v>
      </c>
    </row>
    <row r="515" spans="1:7" ht="14.25" customHeight="1">
      <c r="A515" s="45">
        <v>508</v>
      </c>
      <c r="B515" s="50" t="s">
        <v>2946</v>
      </c>
      <c r="C515" s="183" t="s">
        <v>3100</v>
      </c>
      <c r="D515" s="50" t="s">
        <v>1412</v>
      </c>
      <c r="E515" s="19" t="s">
        <v>2871</v>
      </c>
      <c r="F515" s="19" t="s">
        <v>2950</v>
      </c>
      <c r="G515" s="19" t="s">
        <v>2616</v>
      </c>
    </row>
    <row r="516" spans="1:7" ht="14.25" customHeight="1">
      <c r="A516" s="45">
        <v>509</v>
      </c>
      <c r="B516" s="50" t="s">
        <v>2947</v>
      </c>
      <c r="C516" s="183" t="s">
        <v>3101</v>
      </c>
      <c r="D516" s="50" t="s">
        <v>1412</v>
      </c>
      <c r="E516" s="19" t="s">
        <v>2871</v>
      </c>
      <c r="F516" s="19" t="s">
        <v>2950</v>
      </c>
      <c r="G516" s="19" t="s">
        <v>2616</v>
      </c>
    </row>
    <row r="517" spans="1:7" ht="14.25" customHeight="1">
      <c r="A517" s="45">
        <v>510</v>
      </c>
      <c r="B517" s="50" t="s">
        <v>2945</v>
      </c>
      <c r="C517" s="183" t="s">
        <v>3099</v>
      </c>
      <c r="D517" s="50" t="s">
        <v>1412</v>
      </c>
      <c r="E517" s="19" t="s">
        <v>2871</v>
      </c>
      <c r="F517" s="19" t="s">
        <v>2950</v>
      </c>
      <c r="G517" s="19" t="s">
        <v>2880</v>
      </c>
    </row>
    <row r="518" spans="1:7" ht="14.25" customHeight="1">
      <c r="A518" s="45">
        <v>511</v>
      </c>
      <c r="B518" s="254" t="s">
        <v>2948</v>
      </c>
      <c r="C518" s="255" t="s">
        <v>3102</v>
      </c>
      <c r="D518" s="254" t="s">
        <v>1412</v>
      </c>
      <c r="E518" s="19" t="s">
        <v>2871</v>
      </c>
      <c r="F518" s="19" t="s">
        <v>2950</v>
      </c>
      <c r="G518" s="19" t="s">
        <v>2881</v>
      </c>
    </row>
    <row r="519" spans="1:7" ht="14.25" customHeight="1">
      <c r="A519" s="45">
        <v>512</v>
      </c>
      <c r="B519" s="254" t="s">
        <v>2949</v>
      </c>
      <c r="C519" s="255" t="s">
        <v>3104</v>
      </c>
      <c r="D519" s="254" t="s">
        <v>1412</v>
      </c>
      <c r="E519" s="19" t="s">
        <v>2871</v>
      </c>
      <c r="F519" s="19" t="s">
        <v>2950</v>
      </c>
      <c r="G519" s="19" t="s">
        <v>2881</v>
      </c>
    </row>
    <row r="520" spans="1:7" ht="14.25" customHeight="1">
      <c r="A520" s="45">
        <v>513</v>
      </c>
      <c r="B520" s="254" t="s">
        <v>2909</v>
      </c>
      <c r="C520" s="255" t="s">
        <v>3103</v>
      </c>
      <c r="D520" s="254" t="s">
        <v>1412</v>
      </c>
      <c r="E520" s="19" t="s">
        <v>2871</v>
      </c>
      <c r="F520" s="19" t="s">
        <v>2950</v>
      </c>
      <c r="G520" s="19" t="s">
        <v>2881</v>
      </c>
    </row>
    <row r="521" spans="1:7" ht="14.25" customHeight="1">
      <c r="A521" s="45">
        <v>514</v>
      </c>
      <c r="B521" s="56" t="s">
        <v>3115</v>
      </c>
      <c r="C521" s="56" t="s">
        <v>3118</v>
      </c>
      <c r="D521" s="44" t="s">
        <v>1412</v>
      </c>
      <c r="E521" s="19" t="s">
        <v>2871</v>
      </c>
      <c r="F521" s="19" t="s">
        <v>2999</v>
      </c>
      <c r="G521" s="19" t="s">
        <v>2538</v>
      </c>
    </row>
    <row r="522" spans="1:7" ht="14.25" customHeight="1">
      <c r="A522" s="45">
        <v>515</v>
      </c>
      <c r="B522" s="56" t="s">
        <v>3111</v>
      </c>
      <c r="C522" s="56" t="s">
        <v>2935</v>
      </c>
      <c r="D522" s="44" t="s">
        <v>1412</v>
      </c>
      <c r="E522" s="19" t="s">
        <v>2871</v>
      </c>
      <c r="F522" s="19" t="s">
        <v>2999</v>
      </c>
      <c r="G522" s="19" t="s">
        <v>2538</v>
      </c>
    </row>
    <row r="523" spans="1:7" ht="14.25" customHeight="1">
      <c r="A523" s="45">
        <v>516</v>
      </c>
      <c r="B523" s="56" t="s">
        <v>3106</v>
      </c>
      <c r="C523" s="56" t="s">
        <v>3085</v>
      </c>
      <c r="D523" s="44" t="s">
        <v>1412</v>
      </c>
      <c r="E523" s="19" t="s">
        <v>2871</v>
      </c>
      <c r="F523" s="19" t="s">
        <v>2999</v>
      </c>
      <c r="G523" s="19" t="s">
        <v>2878</v>
      </c>
    </row>
    <row r="524" spans="1:7" ht="14.25" customHeight="1">
      <c r="A524" s="45">
        <v>517</v>
      </c>
      <c r="B524" s="56" t="s">
        <v>3112</v>
      </c>
      <c r="C524" s="56" t="s">
        <v>3079</v>
      </c>
      <c r="D524" s="44" t="s">
        <v>1412</v>
      </c>
      <c r="E524" s="19" t="s">
        <v>2871</v>
      </c>
      <c r="F524" s="19" t="s">
        <v>2999</v>
      </c>
      <c r="G524" s="19" t="s">
        <v>2538</v>
      </c>
    </row>
    <row r="525" spans="1:7" ht="14.25" customHeight="1">
      <c r="A525" s="45">
        <v>518</v>
      </c>
      <c r="B525" s="56" t="s">
        <v>3113</v>
      </c>
      <c r="C525" s="56" t="s">
        <v>3119</v>
      </c>
      <c r="D525" s="44" t="s">
        <v>1412</v>
      </c>
      <c r="E525" s="19" t="s">
        <v>2871</v>
      </c>
      <c r="F525" s="19" t="s">
        <v>2999</v>
      </c>
      <c r="G525" s="19" t="s">
        <v>2538</v>
      </c>
    </row>
    <row r="526" spans="1:7" ht="14.25" customHeight="1">
      <c r="A526" s="45">
        <v>519</v>
      </c>
      <c r="B526" s="56" t="s">
        <v>3105</v>
      </c>
      <c r="C526" s="56" t="s">
        <v>3108</v>
      </c>
      <c r="D526" s="44" t="s">
        <v>1412</v>
      </c>
      <c r="E526" s="19" t="s">
        <v>2871</v>
      </c>
      <c r="F526" s="19" t="s">
        <v>2999</v>
      </c>
      <c r="G526" s="19" t="s">
        <v>2878</v>
      </c>
    </row>
    <row r="527" spans="1:7" ht="14.25" customHeight="1">
      <c r="A527" s="45">
        <v>520</v>
      </c>
      <c r="B527" s="56" t="s">
        <v>3107</v>
      </c>
      <c r="C527" s="56" t="s">
        <v>3109</v>
      </c>
      <c r="D527" s="44" t="s">
        <v>1412</v>
      </c>
      <c r="E527" s="19" t="s">
        <v>2871</v>
      </c>
      <c r="F527" s="19" t="s">
        <v>2999</v>
      </c>
      <c r="G527" s="19" t="s">
        <v>2538</v>
      </c>
    </row>
    <row r="528" spans="1:7" ht="14.25" customHeight="1">
      <c r="A528" s="45">
        <v>521</v>
      </c>
      <c r="B528" s="56" t="s">
        <v>3114</v>
      </c>
      <c r="C528" s="56" t="s">
        <v>3117</v>
      </c>
      <c r="D528" s="44" t="s">
        <v>1412</v>
      </c>
      <c r="E528" s="19" t="s">
        <v>2871</v>
      </c>
      <c r="F528" s="19" t="s">
        <v>2999</v>
      </c>
      <c r="G528" s="19" t="s">
        <v>2538</v>
      </c>
    </row>
    <row r="529" spans="1:7" ht="14.25" customHeight="1">
      <c r="A529" s="45">
        <v>522</v>
      </c>
      <c r="B529" s="56" t="s">
        <v>3110</v>
      </c>
      <c r="C529" s="56" t="s">
        <v>3116</v>
      </c>
      <c r="D529" s="44" t="s">
        <v>1412</v>
      </c>
      <c r="E529" s="19" t="s">
        <v>2871</v>
      </c>
      <c r="F529" s="19" t="s">
        <v>2999</v>
      </c>
      <c r="G529" s="19" t="s">
        <v>2538</v>
      </c>
    </row>
    <row r="530" spans="1:7" ht="14.25" customHeight="1">
      <c r="A530" s="45">
        <v>523</v>
      </c>
      <c r="B530" s="316" t="s">
        <v>3480</v>
      </c>
      <c r="C530" s="55" t="s">
        <v>3769</v>
      </c>
      <c r="D530" s="36" t="s">
        <v>1412</v>
      </c>
      <c r="E530" s="19" t="s">
        <v>2871</v>
      </c>
      <c r="F530" s="19" t="s">
        <v>3656</v>
      </c>
      <c r="G530" s="19" t="s">
        <v>2617</v>
      </c>
    </row>
    <row r="531" spans="1:7" ht="14.25" customHeight="1">
      <c r="A531" s="45">
        <v>524</v>
      </c>
      <c r="B531" s="316" t="s">
        <v>3478</v>
      </c>
      <c r="C531" s="55" t="s">
        <v>3767</v>
      </c>
      <c r="D531" s="36" t="s">
        <v>1412</v>
      </c>
      <c r="E531" s="19" t="s">
        <v>2871</v>
      </c>
      <c r="F531" s="19" t="s">
        <v>3656</v>
      </c>
      <c r="G531" s="19" t="s">
        <v>3657</v>
      </c>
    </row>
    <row r="532" spans="1:7" ht="14.25" customHeight="1">
      <c r="A532" s="45">
        <v>525</v>
      </c>
      <c r="B532" s="316" t="s">
        <v>3479</v>
      </c>
      <c r="C532" s="55" t="s">
        <v>3768</v>
      </c>
      <c r="D532" s="36" t="s">
        <v>1412</v>
      </c>
      <c r="E532" s="19" t="s">
        <v>2871</v>
      </c>
      <c r="F532" s="19" t="s">
        <v>3656</v>
      </c>
      <c r="G532" s="19" t="s">
        <v>2617</v>
      </c>
    </row>
    <row r="533" spans="1:7" ht="14.25" customHeight="1">
      <c r="A533" s="45">
        <v>526</v>
      </c>
      <c r="B533" s="316" t="s">
        <v>3476</v>
      </c>
      <c r="C533" s="55" t="s">
        <v>3766</v>
      </c>
      <c r="D533" s="36" t="s">
        <v>1412</v>
      </c>
      <c r="E533" s="19" t="s">
        <v>2871</v>
      </c>
      <c r="F533" s="19" t="s">
        <v>3656</v>
      </c>
      <c r="G533" s="19" t="s">
        <v>3657</v>
      </c>
    </row>
    <row r="534" spans="1:7" ht="14.25" customHeight="1">
      <c r="A534" s="45">
        <v>527</v>
      </c>
      <c r="B534" s="209" t="s">
        <v>3485</v>
      </c>
      <c r="C534" s="183" t="s">
        <v>3773</v>
      </c>
      <c r="D534" s="50" t="s">
        <v>1412</v>
      </c>
      <c r="E534" s="19" t="s">
        <v>2871</v>
      </c>
      <c r="F534" s="19" t="s">
        <v>3656</v>
      </c>
      <c r="G534" s="19" t="s">
        <v>2616</v>
      </c>
    </row>
    <row r="535" spans="1:7" ht="14.25" customHeight="1">
      <c r="A535" s="45">
        <v>528</v>
      </c>
      <c r="B535" s="209" t="s">
        <v>3484</v>
      </c>
      <c r="C535" s="183" t="s">
        <v>3772</v>
      </c>
      <c r="D535" s="50" t="s">
        <v>1412</v>
      </c>
      <c r="E535" s="19" t="s">
        <v>2871</v>
      </c>
      <c r="F535" s="19" t="s">
        <v>3656</v>
      </c>
      <c r="G535" s="19" t="s">
        <v>2616</v>
      </c>
    </row>
    <row r="536" spans="1:7" ht="14.25" customHeight="1">
      <c r="A536" s="45">
        <v>529</v>
      </c>
      <c r="B536" s="209" t="s">
        <v>3483</v>
      </c>
      <c r="C536" s="183" t="s">
        <v>3771</v>
      </c>
      <c r="D536" s="50" t="s">
        <v>1412</v>
      </c>
      <c r="E536" s="19" t="s">
        <v>2871</v>
      </c>
      <c r="F536" s="19" t="s">
        <v>3656</v>
      </c>
      <c r="G536" s="19" t="s">
        <v>3658</v>
      </c>
    </row>
    <row r="537" spans="1:7" ht="14.25" customHeight="1">
      <c r="A537" s="45">
        <v>530</v>
      </c>
      <c r="B537" s="209" t="s">
        <v>3481</v>
      </c>
      <c r="C537" s="183" t="s">
        <v>3770</v>
      </c>
      <c r="D537" s="50" t="s">
        <v>1412</v>
      </c>
      <c r="E537" s="19" t="s">
        <v>2871</v>
      </c>
      <c r="F537" s="19" t="s">
        <v>3656</v>
      </c>
      <c r="G537" s="19" t="s">
        <v>3658</v>
      </c>
    </row>
    <row r="538" spans="1:7" ht="14.25" customHeight="1">
      <c r="A538" s="45">
        <v>531</v>
      </c>
      <c r="B538" s="317" t="s">
        <v>3490</v>
      </c>
      <c r="C538" s="255" t="s">
        <v>3777</v>
      </c>
      <c r="D538" s="254" t="s">
        <v>1412</v>
      </c>
      <c r="E538" s="19" t="s">
        <v>2871</v>
      </c>
      <c r="F538" s="19" t="s">
        <v>3656</v>
      </c>
      <c r="G538" s="19" t="s">
        <v>3659</v>
      </c>
    </row>
    <row r="539" spans="1:7" ht="14.25" customHeight="1">
      <c r="A539" s="45">
        <v>532</v>
      </c>
      <c r="B539" s="317" t="s">
        <v>3488</v>
      </c>
      <c r="C539" s="255" t="s">
        <v>3775</v>
      </c>
      <c r="D539" s="254" t="s">
        <v>1412</v>
      </c>
      <c r="E539" s="19" t="s">
        <v>2871</v>
      </c>
      <c r="F539" s="19" t="s">
        <v>3656</v>
      </c>
      <c r="G539" s="19" t="s">
        <v>3659</v>
      </c>
    </row>
    <row r="540" spans="1:7" ht="14.25" customHeight="1">
      <c r="A540" s="45">
        <v>533</v>
      </c>
      <c r="B540" s="317" t="s">
        <v>3486</v>
      </c>
      <c r="C540" s="255" t="s">
        <v>3774</v>
      </c>
      <c r="D540" s="254" t="s">
        <v>1412</v>
      </c>
      <c r="E540" s="19" t="s">
        <v>2871</v>
      </c>
      <c r="F540" s="19" t="s">
        <v>3656</v>
      </c>
      <c r="G540" s="19" t="s">
        <v>3659</v>
      </c>
    </row>
    <row r="541" spans="1:7" ht="14.25" customHeight="1">
      <c r="A541" s="45">
        <v>534</v>
      </c>
      <c r="B541" s="317" t="s">
        <v>3489</v>
      </c>
      <c r="C541" s="255" t="s">
        <v>3776</v>
      </c>
      <c r="D541" s="254" t="s">
        <v>1412</v>
      </c>
      <c r="E541" s="19" t="s">
        <v>2871</v>
      </c>
      <c r="F541" s="19" t="s">
        <v>3656</v>
      </c>
      <c r="G541" s="19" t="s">
        <v>3659</v>
      </c>
    </row>
    <row r="542" spans="1:7" ht="14.25" customHeight="1">
      <c r="A542" s="45">
        <v>535</v>
      </c>
      <c r="B542" s="318" t="s">
        <v>2986</v>
      </c>
      <c r="C542" s="265" t="s">
        <v>3779</v>
      </c>
      <c r="D542" s="51" t="s">
        <v>1412</v>
      </c>
      <c r="E542" s="19" t="s">
        <v>2871</v>
      </c>
      <c r="F542" s="19" t="s">
        <v>3656</v>
      </c>
      <c r="G542" s="19" t="s">
        <v>3660</v>
      </c>
    </row>
    <row r="543" spans="1:7" ht="14.25" customHeight="1">
      <c r="A543" s="45">
        <v>536</v>
      </c>
      <c r="B543" s="318" t="s">
        <v>3491</v>
      </c>
      <c r="C543" s="265" t="s">
        <v>3778</v>
      </c>
      <c r="D543" s="51" t="s">
        <v>1412</v>
      </c>
      <c r="E543" s="19" t="s">
        <v>2871</v>
      </c>
      <c r="F543" s="19" t="s">
        <v>3656</v>
      </c>
      <c r="G543" s="19" t="s">
        <v>3660</v>
      </c>
    </row>
    <row r="544" spans="1:7" ht="14.25" customHeight="1">
      <c r="A544" s="45">
        <v>537</v>
      </c>
      <c r="B544" s="318" t="s">
        <v>3493</v>
      </c>
      <c r="C544" s="265" t="s">
        <v>3780</v>
      </c>
      <c r="D544" s="51" t="s">
        <v>1412</v>
      </c>
      <c r="E544" s="19" t="s">
        <v>2871</v>
      </c>
      <c r="F544" s="19" t="s">
        <v>3656</v>
      </c>
      <c r="G544" s="19" t="s">
        <v>3660</v>
      </c>
    </row>
    <row r="545" spans="1:7" ht="14.25" customHeight="1">
      <c r="A545" s="45">
        <v>538</v>
      </c>
      <c r="B545" s="56" t="s">
        <v>3643</v>
      </c>
      <c r="C545" s="56" t="s">
        <v>3786</v>
      </c>
      <c r="D545" s="44" t="s">
        <v>1412</v>
      </c>
      <c r="E545" s="19" t="s">
        <v>2871</v>
      </c>
      <c r="F545" s="19" t="s">
        <v>3656</v>
      </c>
      <c r="G545" s="19" t="s">
        <v>3661</v>
      </c>
    </row>
    <row r="546" spans="1:7" ht="14.25" customHeight="1">
      <c r="A546" s="45">
        <v>539</v>
      </c>
      <c r="B546" s="56" t="s">
        <v>3585</v>
      </c>
      <c r="C546" s="56" t="s">
        <v>3781</v>
      </c>
      <c r="D546" s="44" t="s">
        <v>1412</v>
      </c>
      <c r="E546" s="19" t="s">
        <v>2871</v>
      </c>
      <c r="F546" s="19" t="s">
        <v>3656</v>
      </c>
      <c r="G546" s="19" t="s">
        <v>3661</v>
      </c>
    </row>
    <row r="547" spans="1:7" ht="14.25" customHeight="1">
      <c r="A547" s="45">
        <v>540</v>
      </c>
      <c r="B547" s="56" t="s">
        <v>3641</v>
      </c>
      <c r="C547" s="56" t="s">
        <v>3783</v>
      </c>
      <c r="D547" s="44" t="s">
        <v>1412</v>
      </c>
      <c r="E547" s="19" t="s">
        <v>2871</v>
      </c>
      <c r="F547" s="19" t="s">
        <v>3656</v>
      </c>
      <c r="G547" s="19" t="s">
        <v>3661</v>
      </c>
    </row>
    <row r="548" spans="1:7" ht="14.25" customHeight="1">
      <c r="A548" s="45">
        <v>541</v>
      </c>
      <c r="B548" s="56" t="s">
        <v>3640</v>
      </c>
      <c r="C548" s="56" t="s">
        <v>3782</v>
      </c>
      <c r="D548" s="44" t="s">
        <v>1412</v>
      </c>
      <c r="E548" s="19" t="s">
        <v>2871</v>
      </c>
      <c r="F548" s="19" t="s">
        <v>3656</v>
      </c>
      <c r="G548" s="19" t="s">
        <v>3661</v>
      </c>
    </row>
    <row r="549" spans="1:7" ht="14.25" customHeight="1">
      <c r="A549" s="45">
        <v>542</v>
      </c>
      <c r="B549" s="56" t="s">
        <v>3642</v>
      </c>
      <c r="C549" s="56" t="s">
        <v>3785</v>
      </c>
      <c r="D549" s="44" t="s">
        <v>1412</v>
      </c>
      <c r="E549" s="19" t="s">
        <v>2871</v>
      </c>
      <c r="F549" s="19" t="s">
        <v>3656</v>
      </c>
      <c r="G549" s="19" t="s">
        <v>3661</v>
      </c>
    </row>
    <row r="550" spans="1:7" ht="14.25" customHeight="1">
      <c r="A550" s="45">
        <v>543</v>
      </c>
      <c r="B550" s="56" t="s">
        <v>3652</v>
      </c>
      <c r="C550" s="56" t="s">
        <v>3784</v>
      </c>
      <c r="D550" s="44" t="s">
        <v>1412</v>
      </c>
      <c r="E550" s="19" t="s">
        <v>2871</v>
      </c>
      <c r="F550" s="19" t="s">
        <v>3656</v>
      </c>
      <c r="G550" s="19" t="s">
        <v>3661</v>
      </c>
    </row>
    <row r="551" spans="1:7" ht="14.25" customHeight="1">
      <c r="A551" s="45">
        <v>544</v>
      </c>
      <c r="B551" s="56" t="s">
        <v>3644</v>
      </c>
      <c r="C551" s="56" t="s">
        <v>3787</v>
      </c>
      <c r="D551" s="44" t="s">
        <v>1412</v>
      </c>
      <c r="E551" s="19" t="s">
        <v>2871</v>
      </c>
      <c r="F551" s="19" t="s">
        <v>3656</v>
      </c>
      <c r="G551" s="19" t="s">
        <v>3661</v>
      </c>
    </row>
    <row r="552" spans="1:7" ht="14.25" customHeight="1">
      <c r="A552" s="45">
        <v>545</v>
      </c>
      <c r="B552" s="36" t="s">
        <v>2971</v>
      </c>
      <c r="C552" s="55" t="s">
        <v>3123</v>
      </c>
      <c r="D552" s="36" t="s">
        <v>1412</v>
      </c>
      <c r="E552" s="19" t="s">
        <v>2871</v>
      </c>
      <c r="F552" s="19" t="s">
        <v>2966</v>
      </c>
      <c r="G552" s="19" t="s">
        <v>2617</v>
      </c>
    </row>
    <row r="553" spans="1:7" ht="14.25" customHeight="1">
      <c r="A553" s="45">
        <v>546</v>
      </c>
      <c r="B553" s="36" t="s">
        <v>2969</v>
      </c>
      <c r="C553" s="55" t="s">
        <v>3121</v>
      </c>
      <c r="D553" s="36" t="s">
        <v>1412</v>
      </c>
      <c r="E553" s="19" t="s">
        <v>2871</v>
      </c>
      <c r="F553" s="19" t="s">
        <v>2966</v>
      </c>
      <c r="G553" s="19" t="s">
        <v>2879</v>
      </c>
    </row>
    <row r="554" spans="1:7" ht="14.25" customHeight="1">
      <c r="A554" s="45">
        <v>547</v>
      </c>
      <c r="B554" s="36" t="s">
        <v>2970</v>
      </c>
      <c r="C554" s="55" t="s">
        <v>3122</v>
      </c>
      <c r="D554" s="36" t="s">
        <v>1412</v>
      </c>
      <c r="E554" s="19" t="s">
        <v>2871</v>
      </c>
      <c r="F554" s="19" t="s">
        <v>2966</v>
      </c>
      <c r="G554" s="19" t="s">
        <v>2617</v>
      </c>
    </row>
    <row r="555" spans="1:7" ht="14.25" customHeight="1">
      <c r="A555" s="45">
        <v>548</v>
      </c>
      <c r="B555" s="36" t="s">
        <v>2968</v>
      </c>
      <c r="C555" s="55" t="s">
        <v>3120</v>
      </c>
      <c r="D555" s="36" t="s">
        <v>1412</v>
      </c>
      <c r="E555" s="19" t="s">
        <v>2871</v>
      </c>
      <c r="F555" s="19" t="s">
        <v>2966</v>
      </c>
      <c r="G555" s="19" t="s">
        <v>2967</v>
      </c>
    </row>
    <row r="556" spans="1:7" ht="14.25" customHeight="1">
      <c r="A556" s="45">
        <v>549</v>
      </c>
      <c r="B556" s="50" t="s">
        <v>2974</v>
      </c>
      <c r="C556" s="183" t="s">
        <v>3130</v>
      </c>
      <c r="D556" s="50" t="s">
        <v>1412</v>
      </c>
      <c r="E556" s="19" t="s">
        <v>2871</v>
      </c>
      <c r="F556" s="19" t="s">
        <v>2966</v>
      </c>
      <c r="G556" s="19" t="s">
        <v>2616</v>
      </c>
    </row>
    <row r="557" spans="1:7" ht="14.25" customHeight="1">
      <c r="A557" s="45">
        <v>550</v>
      </c>
      <c r="B557" s="183" t="s">
        <v>3277</v>
      </c>
      <c r="C557" s="183" t="s">
        <v>3124</v>
      </c>
      <c r="D557" s="50" t="s">
        <v>1412</v>
      </c>
      <c r="E557" s="19" t="s">
        <v>2871</v>
      </c>
      <c r="F557" s="19" t="s">
        <v>2966</v>
      </c>
      <c r="G557" s="19" t="s">
        <v>2880</v>
      </c>
    </row>
    <row r="558" spans="1:7" ht="14.25" customHeight="1">
      <c r="A558" s="45">
        <v>551</v>
      </c>
      <c r="B558" s="183" t="s">
        <v>3279</v>
      </c>
      <c r="C558" s="183" t="s">
        <v>3129</v>
      </c>
      <c r="D558" s="50" t="s">
        <v>1412</v>
      </c>
      <c r="E558" s="19" t="s">
        <v>2871</v>
      </c>
      <c r="F558" s="19" t="s">
        <v>2966</v>
      </c>
      <c r="G558" s="19" t="s">
        <v>2616</v>
      </c>
    </row>
    <row r="559" spans="1:7" ht="14.25" customHeight="1">
      <c r="A559" s="45">
        <v>552</v>
      </c>
      <c r="B559" s="50" t="s">
        <v>2972</v>
      </c>
      <c r="C559" s="183" t="s">
        <v>3125</v>
      </c>
      <c r="D559" s="50" t="s">
        <v>1412</v>
      </c>
      <c r="E559" s="19" t="s">
        <v>2871</v>
      </c>
      <c r="F559" s="19" t="s">
        <v>2966</v>
      </c>
      <c r="G559" s="19" t="s">
        <v>2880</v>
      </c>
    </row>
    <row r="560" spans="1:7" ht="14.25" customHeight="1">
      <c r="A560" s="45">
        <v>553</v>
      </c>
      <c r="B560" s="183" t="s">
        <v>3278</v>
      </c>
      <c r="C560" s="183" t="s">
        <v>3126</v>
      </c>
      <c r="D560" s="50" t="s">
        <v>1412</v>
      </c>
      <c r="E560" s="19" t="s">
        <v>2871</v>
      </c>
      <c r="F560" s="19" t="s">
        <v>2966</v>
      </c>
      <c r="G560" s="19" t="s">
        <v>2616</v>
      </c>
    </row>
    <row r="561" spans="1:7" ht="14.25" customHeight="1">
      <c r="A561" s="45">
        <v>554</v>
      </c>
      <c r="B561" s="183" t="s">
        <v>3276</v>
      </c>
      <c r="C561" s="183" t="s">
        <v>3127</v>
      </c>
      <c r="D561" s="50" t="s">
        <v>1412</v>
      </c>
      <c r="E561" s="19" t="s">
        <v>2871</v>
      </c>
      <c r="F561" s="19" t="s">
        <v>2966</v>
      </c>
      <c r="G561" s="19" t="s">
        <v>2616</v>
      </c>
    </row>
    <row r="562" spans="1:7" ht="14.25" customHeight="1">
      <c r="A562" s="45">
        <v>555</v>
      </c>
      <c r="B562" s="50" t="s">
        <v>2973</v>
      </c>
      <c r="C562" s="183" t="s">
        <v>3128</v>
      </c>
      <c r="D562" s="50" t="s">
        <v>1412</v>
      </c>
      <c r="E562" s="19" t="s">
        <v>2871</v>
      </c>
      <c r="F562" s="19" t="s">
        <v>2966</v>
      </c>
      <c r="G562" s="19" t="s">
        <v>2616</v>
      </c>
    </row>
    <row r="563" spans="1:7" ht="14.25" customHeight="1">
      <c r="A563" s="45">
        <v>556</v>
      </c>
      <c r="B563" s="50" t="s">
        <v>2975</v>
      </c>
      <c r="C563" s="183" t="s">
        <v>3131</v>
      </c>
      <c r="D563" s="50" t="s">
        <v>1412</v>
      </c>
      <c r="E563" s="19" t="s">
        <v>2871</v>
      </c>
      <c r="F563" s="19" t="s">
        <v>2966</v>
      </c>
      <c r="G563" s="19" t="s">
        <v>2616</v>
      </c>
    </row>
    <row r="564" spans="1:7" ht="14.25" customHeight="1">
      <c r="A564" s="45">
        <v>557</v>
      </c>
      <c r="B564" s="254" t="s">
        <v>2984</v>
      </c>
      <c r="C564" s="255" t="s">
        <v>3141</v>
      </c>
      <c r="D564" s="254" t="s">
        <v>1412</v>
      </c>
      <c r="E564" s="19" t="s">
        <v>2871</v>
      </c>
      <c r="F564" s="19" t="s">
        <v>2966</v>
      </c>
      <c r="G564" s="19" t="s">
        <v>871</v>
      </c>
    </row>
    <row r="565" spans="1:7" ht="14.25" customHeight="1">
      <c r="A565" s="45">
        <v>558</v>
      </c>
      <c r="B565" s="254" t="s">
        <v>2980</v>
      </c>
      <c r="C565" s="255" t="s">
        <v>3136</v>
      </c>
      <c r="D565" s="254" t="s">
        <v>1412</v>
      </c>
      <c r="E565" s="19" t="s">
        <v>2871</v>
      </c>
      <c r="F565" s="19" t="s">
        <v>2966</v>
      </c>
      <c r="G565" s="19" t="s">
        <v>871</v>
      </c>
    </row>
    <row r="566" spans="1:7" ht="14.25" customHeight="1">
      <c r="A566" s="45">
        <v>559</v>
      </c>
      <c r="B566" s="254" t="s">
        <v>2976</v>
      </c>
      <c r="C566" s="255" t="s">
        <v>3132</v>
      </c>
      <c r="D566" s="254" t="s">
        <v>1412</v>
      </c>
      <c r="E566" s="19" t="s">
        <v>2871</v>
      </c>
      <c r="F566" s="19" t="s">
        <v>2966</v>
      </c>
      <c r="G566" s="19" t="s">
        <v>2882</v>
      </c>
    </row>
    <row r="567" spans="1:7" ht="14.25" customHeight="1">
      <c r="A567" s="45">
        <v>560</v>
      </c>
      <c r="B567" s="254" t="s">
        <v>2981</v>
      </c>
      <c r="C567" s="255" t="s">
        <v>3137</v>
      </c>
      <c r="D567" s="254" t="s">
        <v>1412</v>
      </c>
      <c r="E567" s="19" t="s">
        <v>2871</v>
      </c>
      <c r="F567" s="19" t="s">
        <v>2966</v>
      </c>
      <c r="G567" s="19" t="s">
        <v>2587</v>
      </c>
    </row>
    <row r="568" spans="1:7" ht="14.25" customHeight="1">
      <c r="A568" s="45">
        <v>561</v>
      </c>
      <c r="B568" s="254" t="s">
        <v>2978</v>
      </c>
      <c r="C568" s="255" t="s">
        <v>3134</v>
      </c>
      <c r="D568" s="254" t="s">
        <v>1412</v>
      </c>
      <c r="E568" s="19" t="s">
        <v>2871</v>
      </c>
      <c r="F568" s="19" t="s">
        <v>2966</v>
      </c>
      <c r="G568" s="19" t="s">
        <v>871</v>
      </c>
    </row>
    <row r="569" spans="1:7" ht="14.25" customHeight="1">
      <c r="A569" s="45">
        <v>562</v>
      </c>
      <c r="B569" s="254" t="s">
        <v>2979</v>
      </c>
      <c r="C569" s="255" t="s">
        <v>3135</v>
      </c>
      <c r="D569" s="254" t="s">
        <v>1412</v>
      </c>
      <c r="E569" s="19" t="s">
        <v>2871</v>
      </c>
      <c r="F569" s="19" t="s">
        <v>2966</v>
      </c>
      <c r="G569" s="19" t="s">
        <v>2587</v>
      </c>
    </row>
    <row r="570" spans="1:7" ht="14.25" customHeight="1">
      <c r="A570" s="45">
        <v>563</v>
      </c>
      <c r="B570" s="254" t="s">
        <v>2682</v>
      </c>
      <c r="C570" s="255" t="s">
        <v>3140</v>
      </c>
      <c r="D570" s="254" t="s">
        <v>1412</v>
      </c>
      <c r="E570" s="19" t="s">
        <v>2871</v>
      </c>
      <c r="F570" s="19" t="s">
        <v>2966</v>
      </c>
      <c r="G570" s="19" t="s">
        <v>871</v>
      </c>
    </row>
    <row r="571" spans="1:7" ht="14.25" customHeight="1">
      <c r="A571" s="45">
        <v>564</v>
      </c>
      <c r="B571" s="254" t="s">
        <v>2977</v>
      </c>
      <c r="C571" s="255" t="s">
        <v>3133</v>
      </c>
      <c r="D571" s="254" t="s">
        <v>1412</v>
      </c>
      <c r="E571" s="19" t="s">
        <v>2871</v>
      </c>
      <c r="F571" s="19" t="s">
        <v>2966</v>
      </c>
      <c r="G571" s="19" t="s">
        <v>2881</v>
      </c>
    </row>
    <row r="572" spans="1:7" ht="14.25" customHeight="1">
      <c r="A572" s="45">
        <v>565</v>
      </c>
      <c r="B572" s="254" t="s">
        <v>2982</v>
      </c>
      <c r="C572" s="255" t="s">
        <v>3138</v>
      </c>
      <c r="D572" s="254" t="s">
        <v>1412</v>
      </c>
      <c r="E572" s="19" t="s">
        <v>2871</v>
      </c>
      <c r="F572" s="19" t="s">
        <v>2966</v>
      </c>
      <c r="G572" s="19" t="s">
        <v>871</v>
      </c>
    </row>
    <row r="573" spans="1:7" ht="14.25" customHeight="1">
      <c r="A573" s="45">
        <v>566</v>
      </c>
      <c r="B573" s="254" t="s">
        <v>2983</v>
      </c>
      <c r="C573" s="255" t="s">
        <v>3139</v>
      </c>
      <c r="D573" s="254" t="s">
        <v>1412</v>
      </c>
      <c r="E573" s="19" t="s">
        <v>2871</v>
      </c>
      <c r="F573" s="19" t="s">
        <v>2966</v>
      </c>
      <c r="G573" s="19" t="s">
        <v>2587</v>
      </c>
    </row>
    <row r="574" spans="1:7" ht="14.25" customHeight="1">
      <c r="A574" s="45">
        <v>567</v>
      </c>
      <c r="B574" s="51" t="s">
        <v>2986</v>
      </c>
      <c r="C574" s="265" t="s">
        <v>3143</v>
      </c>
      <c r="D574" s="51" t="s">
        <v>1412</v>
      </c>
      <c r="E574" s="19" t="s">
        <v>2871</v>
      </c>
      <c r="F574" s="19" t="s">
        <v>2966</v>
      </c>
      <c r="G574" s="19" t="s">
        <v>2883</v>
      </c>
    </row>
    <row r="575" spans="1:7" ht="14.25" customHeight="1">
      <c r="A575" s="45">
        <v>568</v>
      </c>
      <c r="B575" s="51" t="s">
        <v>2987</v>
      </c>
      <c r="C575" s="265" t="s">
        <v>3144</v>
      </c>
      <c r="D575" s="51" t="s">
        <v>1412</v>
      </c>
      <c r="E575" s="19" t="s">
        <v>2871</v>
      </c>
      <c r="F575" s="19" t="s">
        <v>2966</v>
      </c>
      <c r="G575" s="19" t="s">
        <v>2588</v>
      </c>
    </row>
    <row r="576" spans="1:7" ht="14.25" customHeight="1">
      <c r="A576" s="45">
        <v>569</v>
      </c>
      <c r="B576" s="51" t="s">
        <v>2911</v>
      </c>
      <c r="C576" s="265" t="s">
        <v>3146</v>
      </c>
      <c r="D576" s="51" t="s">
        <v>1412</v>
      </c>
      <c r="E576" s="19" t="s">
        <v>2871</v>
      </c>
      <c r="F576" s="19" t="s">
        <v>2966</v>
      </c>
      <c r="G576" s="19" t="s">
        <v>2588</v>
      </c>
    </row>
    <row r="577" spans="1:7" ht="14.25" customHeight="1">
      <c r="A577" s="45">
        <v>570</v>
      </c>
      <c r="B577" s="51" t="s">
        <v>2989</v>
      </c>
      <c r="C577" s="265" t="s">
        <v>3147</v>
      </c>
      <c r="D577" s="51" t="s">
        <v>1412</v>
      </c>
      <c r="E577" s="19" t="s">
        <v>2871</v>
      </c>
      <c r="F577" s="19" t="s">
        <v>2966</v>
      </c>
      <c r="G577" s="19" t="s">
        <v>2588</v>
      </c>
    </row>
    <row r="578" spans="1:7" ht="14.25" customHeight="1">
      <c r="A578" s="45">
        <v>571</v>
      </c>
      <c r="B578" s="51" t="s">
        <v>2990</v>
      </c>
      <c r="C578" s="265" t="s">
        <v>3148</v>
      </c>
      <c r="D578" s="51" t="s">
        <v>1412</v>
      </c>
      <c r="E578" s="19" t="s">
        <v>2871</v>
      </c>
      <c r="F578" s="19" t="s">
        <v>2966</v>
      </c>
      <c r="G578" s="19" t="s">
        <v>2588</v>
      </c>
    </row>
    <row r="579" spans="1:7" ht="14.25" customHeight="1">
      <c r="A579" s="45">
        <v>572</v>
      </c>
      <c r="B579" s="51" t="s">
        <v>2985</v>
      </c>
      <c r="C579" s="265" t="s">
        <v>3142</v>
      </c>
      <c r="D579" s="51" t="s">
        <v>1412</v>
      </c>
      <c r="E579" s="19" t="s">
        <v>2871</v>
      </c>
      <c r="F579" s="19" t="s">
        <v>2966</v>
      </c>
      <c r="G579" s="19" t="s">
        <v>2883</v>
      </c>
    </row>
    <row r="580" spans="1:7" ht="14.25" customHeight="1">
      <c r="A580" s="45">
        <v>573</v>
      </c>
      <c r="B580" s="51" t="s">
        <v>2991</v>
      </c>
      <c r="C580" s="265" t="s">
        <v>3149</v>
      </c>
      <c r="D580" s="51" t="s">
        <v>1412</v>
      </c>
      <c r="E580" s="19" t="s">
        <v>2871</v>
      </c>
      <c r="F580" s="19" t="s">
        <v>2966</v>
      </c>
      <c r="G580" s="19" t="s">
        <v>2588</v>
      </c>
    </row>
    <row r="581" spans="1:7" ht="14.25" customHeight="1">
      <c r="A581" s="45">
        <v>574</v>
      </c>
      <c r="B581" s="51" t="s">
        <v>2988</v>
      </c>
      <c r="C581" s="265" t="s">
        <v>3145</v>
      </c>
      <c r="D581" s="51" t="s">
        <v>1412</v>
      </c>
      <c r="E581" s="19" t="s">
        <v>2871</v>
      </c>
      <c r="F581" s="19" t="s">
        <v>2966</v>
      </c>
      <c r="G581" s="19" t="s">
        <v>2588</v>
      </c>
    </row>
    <row r="582" spans="1:7" ht="14.25" customHeight="1">
      <c r="A582" s="45">
        <v>575</v>
      </c>
      <c r="B582" s="56" t="s">
        <v>3159</v>
      </c>
      <c r="C582" s="56" t="s">
        <v>3164</v>
      </c>
      <c r="D582" s="44" t="s">
        <v>1412</v>
      </c>
      <c r="E582" s="19" t="s">
        <v>2871</v>
      </c>
      <c r="F582" s="19" t="s">
        <v>2966</v>
      </c>
      <c r="G582" s="19" t="s">
        <v>2538</v>
      </c>
    </row>
    <row r="583" spans="1:7" ht="14.25" customHeight="1">
      <c r="A583" s="45">
        <v>576</v>
      </c>
      <c r="B583" s="56" t="s">
        <v>3158</v>
      </c>
      <c r="C583" s="56" t="s">
        <v>3069</v>
      </c>
      <c r="D583" s="44" t="s">
        <v>1412</v>
      </c>
      <c r="E583" s="19" t="s">
        <v>2871</v>
      </c>
      <c r="F583" s="19" t="s">
        <v>2966</v>
      </c>
      <c r="G583" s="19" t="s">
        <v>2538</v>
      </c>
    </row>
    <row r="584" spans="1:7" ht="14.25" customHeight="1">
      <c r="A584" s="45">
        <v>577</v>
      </c>
      <c r="B584" s="44" t="s">
        <v>2994</v>
      </c>
      <c r="C584" s="56" t="s">
        <v>3165</v>
      </c>
      <c r="D584" s="44" t="s">
        <v>1412</v>
      </c>
      <c r="E584" s="19" t="s">
        <v>2871</v>
      </c>
      <c r="F584" s="19" t="s">
        <v>2966</v>
      </c>
      <c r="G584" s="19" t="s">
        <v>2538</v>
      </c>
    </row>
    <row r="585" spans="1:7" ht="14.25" customHeight="1">
      <c r="A585" s="45">
        <v>578</v>
      </c>
      <c r="B585" s="44" t="s">
        <v>2997</v>
      </c>
      <c r="C585" s="56" t="s">
        <v>3119</v>
      </c>
      <c r="D585" s="44" t="s">
        <v>1412</v>
      </c>
      <c r="E585" s="19" t="s">
        <v>2871</v>
      </c>
      <c r="F585" s="19" t="s">
        <v>2966</v>
      </c>
      <c r="G585" s="19" t="s">
        <v>2998</v>
      </c>
    </row>
    <row r="586" spans="1:7" ht="14.25" customHeight="1">
      <c r="A586" s="45">
        <v>579</v>
      </c>
      <c r="B586" s="56" t="s">
        <v>3155</v>
      </c>
      <c r="C586" s="56" t="s">
        <v>3162</v>
      </c>
      <c r="D586" s="44" t="s">
        <v>1412</v>
      </c>
      <c r="E586" s="19" t="s">
        <v>2871</v>
      </c>
      <c r="F586" s="19" t="s">
        <v>2966</v>
      </c>
      <c r="G586" s="19" t="s">
        <v>2538</v>
      </c>
    </row>
    <row r="587" spans="1:7" ht="14.25" customHeight="1">
      <c r="A587" s="45">
        <v>580</v>
      </c>
      <c r="B587" s="44" t="s">
        <v>2989</v>
      </c>
      <c r="C587" s="56" t="s">
        <v>3147</v>
      </c>
      <c r="D587" s="44" t="s">
        <v>1412</v>
      </c>
      <c r="E587" s="19" t="s">
        <v>2871</v>
      </c>
      <c r="F587" s="19" t="s">
        <v>2966</v>
      </c>
      <c r="G587" s="19" t="s">
        <v>2878</v>
      </c>
    </row>
    <row r="588" spans="1:7" ht="14.25" customHeight="1">
      <c r="A588" s="45">
        <v>581</v>
      </c>
      <c r="B588" s="44" t="s">
        <v>2993</v>
      </c>
      <c r="C588" s="56" t="s">
        <v>3151</v>
      </c>
      <c r="D588" s="44" t="s">
        <v>1412</v>
      </c>
      <c r="E588" s="19" t="s">
        <v>2871</v>
      </c>
      <c r="F588" s="19" t="s">
        <v>2966</v>
      </c>
      <c r="G588" s="19" t="s">
        <v>2538</v>
      </c>
    </row>
    <row r="589" spans="1:7" ht="14.25" customHeight="1">
      <c r="A589" s="45">
        <v>582</v>
      </c>
      <c r="B589" s="44" t="s">
        <v>2995</v>
      </c>
      <c r="C589" s="56" t="s">
        <v>3166</v>
      </c>
      <c r="D589" s="44" t="s">
        <v>1412</v>
      </c>
      <c r="E589" s="19" t="s">
        <v>2871</v>
      </c>
      <c r="F589" s="19" t="s">
        <v>2966</v>
      </c>
      <c r="G589" s="19" t="s">
        <v>2538</v>
      </c>
    </row>
    <row r="590" spans="1:7" ht="14.25" customHeight="1">
      <c r="A590" s="45">
        <v>583</v>
      </c>
      <c r="B590" s="56" t="s">
        <v>3153</v>
      </c>
      <c r="C590" s="56" t="s">
        <v>3152</v>
      </c>
      <c r="D590" s="44" t="s">
        <v>1412</v>
      </c>
      <c r="E590" s="19" t="s">
        <v>2871</v>
      </c>
      <c r="F590" s="19" t="s">
        <v>2966</v>
      </c>
      <c r="G590" s="19" t="s">
        <v>2538</v>
      </c>
    </row>
    <row r="591" spans="1:7" ht="14.25" customHeight="1">
      <c r="A591" s="45">
        <v>584</v>
      </c>
      <c r="B591" s="56" t="s">
        <v>3157</v>
      </c>
      <c r="C591" s="56" t="s">
        <v>3163</v>
      </c>
      <c r="D591" s="44" t="s">
        <v>1412</v>
      </c>
      <c r="E591" s="19" t="s">
        <v>2871</v>
      </c>
      <c r="F591" s="19" t="s">
        <v>2966</v>
      </c>
      <c r="G591" s="19" t="s">
        <v>2538</v>
      </c>
    </row>
    <row r="592" spans="1:7" ht="14.25" customHeight="1">
      <c r="A592" s="45">
        <v>585</v>
      </c>
      <c r="B592" s="56" t="s">
        <v>3156</v>
      </c>
      <c r="C592" s="56" t="s">
        <v>3161</v>
      </c>
      <c r="D592" s="44" t="s">
        <v>1412</v>
      </c>
      <c r="E592" s="19" t="s">
        <v>2871</v>
      </c>
      <c r="F592" s="19" t="s">
        <v>2966</v>
      </c>
      <c r="G592" s="19" t="s">
        <v>2538</v>
      </c>
    </row>
    <row r="593" spans="1:7" ht="14.25" customHeight="1">
      <c r="A593" s="45">
        <v>586</v>
      </c>
      <c r="B593" s="56" t="s">
        <v>3154</v>
      </c>
      <c r="C593" s="56" t="s">
        <v>3160</v>
      </c>
      <c r="D593" s="44" t="s">
        <v>1412</v>
      </c>
      <c r="E593" s="19" t="s">
        <v>2871</v>
      </c>
      <c r="F593" s="19" t="s">
        <v>2966</v>
      </c>
      <c r="G593" s="19" t="s">
        <v>2538</v>
      </c>
    </row>
    <row r="594" spans="1:7" ht="14.25" customHeight="1">
      <c r="A594" s="45">
        <v>587</v>
      </c>
      <c r="B594" s="44" t="s">
        <v>2992</v>
      </c>
      <c r="C594" s="56" t="s">
        <v>3150</v>
      </c>
      <c r="D594" s="44" t="s">
        <v>1412</v>
      </c>
      <c r="E594" s="19" t="s">
        <v>2871</v>
      </c>
      <c r="F594" s="19" t="s">
        <v>2966</v>
      </c>
      <c r="G594" s="19" t="s">
        <v>2878</v>
      </c>
    </row>
    <row r="595" spans="1:7" ht="14.25" customHeight="1">
      <c r="A595" s="45">
        <v>588</v>
      </c>
      <c r="B595" s="44" t="s">
        <v>2996</v>
      </c>
      <c r="C595" s="56" t="s">
        <v>3167</v>
      </c>
      <c r="D595" s="44" t="s">
        <v>1412</v>
      </c>
      <c r="E595" s="19" t="s">
        <v>2871</v>
      </c>
      <c r="F595" s="19" t="s">
        <v>2966</v>
      </c>
      <c r="G595" s="19" t="s">
        <v>2538</v>
      </c>
    </row>
    <row r="596" spans="1:7" ht="14.25" customHeight="1">
      <c r="A596" s="45">
        <v>589</v>
      </c>
      <c r="B596" s="36" t="s">
        <v>2856</v>
      </c>
      <c r="C596" s="55" t="s">
        <v>3173</v>
      </c>
      <c r="D596" s="36" t="s">
        <v>1412</v>
      </c>
      <c r="E596" s="19" t="s">
        <v>2871</v>
      </c>
      <c r="F596" s="19" t="s">
        <v>2884</v>
      </c>
      <c r="G596" s="19" t="s">
        <v>2617</v>
      </c>
    </row>
    <row r="597" spans="1:7" ht="14.25" customHeight="1">
      <c r="A597" s="45">
        <v>590</v>
      </c>
      <c r="B597" s="36" t="s">
        <v>2854</v>
      </c>
      <c r="C597" s="55" t="s">
        <v>3170</v>
      </c>
      <c r="D597" s="36" t="s">
        <v>1412</v>
      </c>
      <c r="E597" s="19" t="s">
        <v>2871</v>
      </c>
      <c r="F597" s="19" t="s">
        <v>2884</v>
      </c>
      <c r="G597" s="19" t="s">
        <v>2617</v>
      </c>
    </row>
    <row r="598" spans="1:7" ht="14.25" customHeight="1">
      <c r="A598" s="45">
        <v>591</v>
      </c>
      <c r="B598" s="55" t="s">
        <v>3271</v>
      </c>
      <c r="C598" s="55" t="s">
        <v>3174</v>
      </c>
      <c r="D598" s="36" t="s">
        <v>1412</v>
      </c>
      <c r="E598" s="19" t="s">
        <v>2871</v>
      </c>
      <c r="F598" s="19" t="s">
        <v>2884</v>
      </c>
      <c r="G598" s="19" t="s">
        <v>2617</v>
      </c>
    </row>
    <row r="599" spans="1:7" ht="14.25" customHeight="1">
      <c r="A599" s="45">
        <v>592</v>
      </c>
      <c r="B599" s="36" t="s">
        <v>2855</v>
      </c>
      <c r="C599" s="55" t="s">
        <v>3171</v>
      </c>
      <c r="D599" s="36" t="s">
        <v>1412</v>
      </c>
      <c r="E599" s="19" t="s">
        <v>2871</v>
      </c>
      <c r="F599" s="19" t="s">
        <v>2884</v>
      </c>
      <c r="G599" s="19" t="s">
        <v>2617</v>
      </c>
    </row>
    <row r="600" spans="1:7" ht="14.25" customHeight="1">
      <c r="A600" s="45">
        <v>593</v>
      </c>
      <c r="B600" s="55" t="s">
        <v>3270</v>
      </c>
      <c r="C600" s="55" t="s">
        <v>3172</v>
      </c>
      <c r="D600" s="36" t="s">
        <v>1412</v>
      </c>
      <c r="E600" s="19" t="s">
        <v>2871</v>
      </c>
      <c r="F600" s="19" t="s">
        <v>2884</v>
      </c>
      <c r="G600" s="19" t="s">
        <v>2617</v>
      </c>
    </row>
    <row r="601" spans="1:7" ht="14.25" customHeight="1">
      <c r="A601" s="45">
        <v>594</v>
      </c>
      <c r="B601" s="36" t="s">
        <v>2852</v>
      </c>
      <c r="C601" s="55" t="s">
        <v>3168</v>
      </c>
      <c r="D601" s="36" t="s">
        <v>1412</v>
      </c>
      <c r="E601" s="19" t="s">
        <v>2871</v>
      </c>
      <c r="F601" s="19" t="s">
        <v>2884</v>
      </c>
      <c r="G601" s="19" t="s">
        <v>2879</v>
      </c>
    </row>
    <row r="602" spans="1:7" ht="14.25" customHeight="1">
      <c r="A602" s="45">
        <v>595</v>
      </c>
      <c r="B602" s="36" t="s">
        <v>2853</v>
      </c>
      <c r="C602" s="55" t="s">
        <v>3169</v>
      </c>
      <c r="D602" s="36" t="s">
        <v>1412</v>
      </c>
      <c r="E602" s="19" t="s">
        <v>2871</v>
      </c>
      <c r="F602" s="19" t="s">
        <v>2884</v>
      </c>
      <c r="G602" s="19" t="s">
        <v>2879</v>
      </c>
    </row>
    <row r="603" spans="1:7" ht="14.25" customHeight="1">
      <c r="A603" s="45">
        <v>596</v>
      </c>
      <c r="B603" s="50" t="s">
        <v>2858</v>
      </c>
      <c r="C603" s="183" t="s">
        <v>3176</v>
      </c>
      <c r="D603" s="50" t="s">
        <v>1412</v>
      </c>
      <c r="E603" s="19" t="s">
        <v>2871</v>
      </c>
      <c r="F603" s="19" t="s">
        <v>2884</v>
      </c>
      <c r="G603" s="19" t="s">
        <v>2880</v>
      </c>
    </row>
    <row r="604" spans="1:7" ht="14.25" customHeight="1">
      <c r="A604" s="45">
        <v>597</v>
      </c>
      <c r="B604" s="183" t="s">
        <v>3281</v>
      </c>
      <c r="C604" s="183" t="s">
        <v>3180</v>
      </c>
      <c r="D604" s="50" t="s">
        <v>1412</v>
      </c>
      <c r="E604" s="19" t="s">
        <v>2871</v>
      </c>
      <c r="F604" s="19" t="s">
        <v>2884</v>
      </c>
      <c r="G604" s="19" t="s">
        <v>2616</v>
      </c>
    </row>
    <row r="605" spans="1:7" ht="14.25" customHeight="1">
      <c r="A605" s="45">
        <v>598</v>
      </c>
      <c r="B605" s="50" t="s">
        <v>2860</v>
      </c>
      <c r="C605" s="183" t="s">
        <v>3178</v>
      </c>
      <c r="D605" s="50" t="s">
        <v>1412</v>
      </c>
      <c r="E605" s="19" t="s">
        <v>2871</v>
      </c>
      <c r="F605" s="19" t="s">
        <v>2884</v>
      </c>
      <c r="G605" s="19" t="s">
        <v>2616</v>
      </c>
    </row>
    <row r="606" spans="1:7" ht="14.25" customHeight="1">
      <c r="A606" s="45">
        <v>599</v>
      </c>
      <c r="B606" s="50" t="s">
        <v>2862</v>
      </c>
      <c r="C606" s="183" t="s">
        <v>3181</v>
      </c>
      <c r="D606" s="50" t="s">
        <v>1412</v>
      </c>
      <c r="E606" s="19" t="s">
        <v>2871</v>
      </c>
      <c r="F606" s="19" t="s">
        <v>2884</v>
      </c>
      <c r="G606" s="19" t="s">
        <v>2616</v>
      </c>
    </row>
    <row r="607" spans="1:7" ht="14.25" customHeight="1">
      <c r="A607" s="45">
        <v>600</v>
      </c>
      <c r="B607" s="50" t="s">
        <v>2861</v>
      </c>
      <c r="C607" s="183" t="s">
        <v>3179</v>
      </c>
      <c r="D607" s="50" t="s">
        <v>1412</v>
      </c>
      <c r="E607" s="19" t="s">
        <v>2871</v>
      </c>
      <c r="F607" s="19" t="s">
        <v>2884</v>
      </c>
      <c r="G607" s="19" t="s">
        <v>2616</v>
      </c>
    </row>
    <row r="608" spans="1:7" ht="14.25" customHeight="1">
      <c r="A608" s="45">
        <v>601</v>
      </c>
      <c r="B608" s="50" t="s">
        <v>2859</v>
      </c>
      <c r="C608" s="183" t="s">
        <v>3177</v>
      </c>
      <c r="D608" s="50" t="s">
        <v>1412</v>
      </c>
      <c r="E608" s="19" t="s">
        <v>2871</v>
      </c>
      <c r="F608" s="19" t="s">
        <v>2884</v>
      </c>
      <c r="G608" s="19" t="s">
        <v>2616</v>
      </c>
    </row>
    <row r="609" spans="1:7" ht="14.25" customHeight="1">
      <c r="A609" s="45">
        <v>602</v>
      </c>
      <c r="B609" s="50" t="s">
        <v>2857</v>
      </c>
      <c r="C609" s="183" t="s">
        <v>3175</v>
      </c>
      <c r="D609" s="50" t="s">
        <v>1412</v>
      </c>
      <c r="E609" s="19" t="s">
        <v>2871</v>
      </c>
      <c r="F609" s="19" t="s">
        <v>2884</v>
      </c>
      <c r="G609" s="19" t="s">
        <v>2880</v>
      </c>
    </row>
    <row r="610" spans="1:7" ht="14.25" customHeight="1">
      <c r="A610" s="45">
        <v>603</v>
      </c>
      <c r="B610" s="254" t="s">
        <v>2869</v>
      </c>
      <c r="C610" s="255" t="s">
        <v>3188</v>
      </c>
      <c r="D610" s="254" t="s">
        <v>1412</v>
      </c>
      <c r="E610" s="19" t="s">
        <v>2871</v>
      </c>
      <c r="F610" s="19" t="s">
        <v>2884</v>
      </c>
      <c r="G610" s="19" t="s">
        <v>2587</v>
      </c>
    </row>
    <row r="611" spans="1:7" ht="14.25" customHeight="1">
      <c r="A611" s="45">
        <v>604</v>
      </c>
      <c r="B611" s="254" t="s">
        <v>2867</v>
      </c>
      <c r="C611" s="255" t="s">
        <v>3186</v>
      </c>
      <c r="D611" s="254" t="s">
        <v>1412</v>
      </c>
      <c r="E611" s="19" t="s">
        <v>2871</v>
      </c>
      <c r="F611" s="19" t="s">
        <v>2884</v>
      </c>
      <c r="G611" s="19" t="s">
        <v>2587</v>
      </c>
    </row>
    <row r="612" spans="1:7" ht="14.25" customHeight="1">
      <c r="A612" s="45">
        <v>605</v>
      </c>
      <c r="B612" s="254" t="s">
        <v>2866</v>
      </c>
      <c r="C612" s="255" t="s">
        <v>3185</v>
      </c>
      <c r="D612" s="254" t="s">
        <v>1412</v>
      </c>
      <c r="E612" s="19" t="s">
        <v>2871</v>
      </c>
      <c r="F612" s="19" t="s">
        <v>2884</v>
      </c>
      <c r="G612" s="19" t="s">
        <v>2587</v>
      </c>
    </row>
    <row r="613" spans="1:7" ht="14.25" customHeight="1">
      <c r="A613" s="45">
        <v>606</v>
      </c>
      <c r="B613" s="254" t="s">
        <v>2864</v>
      </c>
      <c r="C613" s="255" t="s">
        <v>3183</v>
      </c>
      <c r="D613" s="254" t="s">
        <v>1412</v>
      </c>
      <c r="E613" s="19" t="s">
        <v>2871</v>
      </c>
      <c r="F613" s="19" t="s">
        <v>2884</v>
      </c>
      <c r="G613" s="19" t="s">
        <v>2881</v>
      </c>
    </row>
    <row r="614" spans="1:7" ht="14.25" customHeight="1">
      <c r="A614" s="45">
        <v>607</v>
      </c>
      <c r="B614" s="254" t="s">
        <v>2868</v>
      </c>
      <c r="C614" s="255" t="s">
        <v>3187</v>
      </c>
      <c r="D614" s="254" t="s">
        <v>1412</v>
      </c>
      <c r="E614" s="19" t="s">
        <v>2871</v>
      </c>
      <c r="F614" s="19" t="s">
        <v>2884</v>
      </c>
      <c r="G614" s="19" t="s">
        <v>2587</v>
      </c>
    </row>
    <row r="615" spans="1:7" ht="14.25" customHeight="1">
      <c r="A615" s="45">
        <v>608</v>
      </c>
      <c r="B615" s="254" t="s">
        <v>2863</v>
      </c>
      <c r="C615" s="255" t="s">
        <v>3182</v>
      </c>
      <c r="D615" s="254" t="s">
        <v>1412</v>
      </c>
      <c r="E615" s="19" t="s">
        <v>2871</v>
      </c>
      <c r="F615" s="19" t="s">
        <v>2884</v>
      </c>
      <c r="G615" s="19" t="s">
        <v>2881</v>
      </c>
    </row>
    <row r="616" spans="1:7" ht="14.25" customHeight="1">
      <c r="A616" s="45">
        <v>609</v>
      </c>
      <c r="B616" s="254" t="s">
        <v>2865</v>
      </c>
      <c r="C616" s="255" t="s">
        <v>3184</v>
      </c>
      <c r="D616" s="254" t="s">
        <v>1412</v>
      </c>
      <c r="E616" s="19" t="s">
        <v>2871</v>
      </c>
      <c r="F616" s="19" t="s">
        <v>2884</v>
      </c>
      <c r="G616" s="19" t="s">
        <v>2587</v>
      </c>
    </row>
    <row r="617" spans="1:7" ht="14.25" customHeight="1">
      <c r="A617" s="45">
        <v>610</v>
      </c>
      <c r="B617" s="51" t="s">
        <v>2870</v>
      </c>
      <c r="C617" s="265" t="s">
        <v>3189</v>
      </c>
      <c r="D617" s="51" t="s">
        <v>1412</v>
      </c>
      <c r="E617" s="19" t="s">
        <v>2871</v>
      </c>
      <c r="F617" s="19" t="s">
        <v>2884</v>
      </c>
      <c r="G617" s="19" t="s">
        <v>2883</v>
      </c>
    </row>
    <row r="618" spans="1:7" ht="14.25" customHeight="1">
      <c r="A618" s="45">
        <v>611</v>
      </c>
      <c r="B618" s="44" t="s">
        <v>2875</v>
      </c>
      <c r="C618" s="56" t="s">
        <v>3192</v>
      </c>
      <c r="D618" s="44" t="s">
        <v>1412</v>
      </c>
      <c r="E618" s="19" t="s">
        <v>2871</v>
      </c>
      <c r="F618" s="19" t="s">
        <v>2884</v>
      </c>
      <c r="G618" s="19" t="s">
        <v>2538</v>
      </c>
    </row>
    <row r="619" spans="1:7" ht="14.25" customHeight="1">
      <c r="A619" s="45">
        <v>612</v>
      </c>
      <c r="B619" s="44" t="s">
        <v>2874</v>
      </c>
      <c r="C619" s="56" t="s">
        <v>3191</v>
      </c>
      <c r="D619" s="44" t="s">
        <v>1412</v>
      </c>
      <c r="E619" s="19" t="s">
        <v>2871</v>
      </c>
      <c r="F619" s="19" t="s">
        <v>2884</v>
      </c>
      <c r="G619" s="19" t="s">
        <v>2878</v>
      </c>
    </row>
    <row r="620" spans="1:7" ht="14.25" customHeight="1">
      <c r="A620" s="45">
        <v>613</v>
      </c>
      <c r="B620" s="44" t="s">
        <v>2872</v>
      </c>
      <c r="C620" s="56" t="s">
        <v>3195</v>
      </c>
      <c r="D620" s="44" t="s">
        <v>1412</v>
      </c>
      <c r="E620" s="19" t="s">
        <v>2871</v>
      </c>
      <c r="F620" s="19" t="s">
        <v>2884</v>
      </c>
      <c r="G620" s="19" t="s">
        <v>2538</v>
      </c>
    </row>
    <row r="621" spans="1:7" ht="14.25" customHeight="1">
      <c r="A621" s="45">
        <v>614</v>
      </c>
      <c r="B621" s="44" t="s">
        <v>2876</v>
      </c>
      <c r="C621" s="56" t="s">
        <v>3193</v>
      </c>
      <c r="D621" s="44" t="s">
        <v>1412</v>
      </c>
      <c r="E621" s="19" t="s">
        <v>2871</v>
      </c>
      <c r="F621" s="19" t="s">
        <v>2884</v>
      </c>
      <c r="G621" s="19" t="s">
        <v>2538</v>
      </c>
    </row>
    <row r="622" spans="1:7" ht="14.25" customHeight="1">
      <c r="A622" s="45">
        <v>615</v>
      </c>
      <c r="B622" s="44" t="s">
        <v>2873</v>
      </c>
      <c r="C622" s="56" t="s">
        <v>3190</v>
      </c>
      <c r="D622" s="44" t="s">
        <v>1412</v>
      </c>
      <c r="E622" s="19" t="s">
        <v>2871</v>
      </c>
      <c r="F622" s="19" t="s">
        <v>2884</v>
      </c>
      <c r="G622" s="19" t="s">
        <v>2878</v>
      </c>
    </row>
    <row r="623" spans="1:7" ht="14.25" customHeight="1">
      <c r="A623" s="45">
        <v>616</v>
      </c>
      <c r="B623" s="44" t="s">
        <v>2877</v>
      </c>
      <c r="C623" s="56" t="s">
        <v>3194</v>
      </c>
      <c r="D623" s="44" t="s">
        <v>1412</v>
      </c>
      <c r="E623" s="19" t="s">
        <v>2871</v>
      </c>
      <c r="F623" s="19" t="s">
        <v>2884</v>
      </c>
      <c r="G623" s="19" t="s">
        <v>2538</v>
      </c>
    </row>
    <row r="624" spans="1:7" ht="14.25" customHeight="1">
      <c r="A624" s="45">
        <v>617</v>
      </c>
      <c r="B624" s="316" t="s">
        <v>3502</v>
      </c>
      <c r="C624" s="55" t="s">
        <v>3808</v>
      </c>
      <c r="D624" s="36" t="s">
        <v>1412</v>
      </c>
      <c r="E624" s="19" t="s">
        <v>2871</v>
      </c>
      <c r="F624" s="19" t="s">
        <v>3664</v>
      </c>
      <c r="G624" s="19" t="s">
        <v>3657</v>
      </c>
    </row>
    <row r="625" spans="1:7" ht="14.25" customHeight="1">
      <c r="A625" s="45">
        <v>618</v>
      </c>
      <c r="B625" s="209" t="s">
        <v>3578</v>
      </c>
      <c r="C625" s="183" t="s">
        <v>3807</v>
      </c>
      <c r="D625" s="50" t="s">
        <v>1412</v>
      </c>
      <c r="E625" s="19" t="s">
        <v>2871</v>
      </c>
      <c r="F625" s="19" t="s">
        <v>3664</v>
      </c>
      <c r="G625" s="19" t="s">
        <v>3658</v>
      </c>
    </row>
    <row r="626" spans="1:7" ht="14.25" customHeight="1">
      <c r="A626" s="45">
        <v>619</v>
      </c>
      <c r="B626" s="209" t="s">
        <v>3504</v>
      </c>
      <c r="C626" s="183" t="s">
        <v>3810</v>
      </c>
      <c r="D626" s="50" t="s">
        <v>1412</v>
      </c>
      <c r="E626" s="19" t="s">
        <v>2871</v>
      </c>
      <c r="F626" s="19" t="s">
        <v>3664</v>
      </c>
      <c r="G626" s="19" t="s">
        <v>3658</v>
      </c>
    </row>
    <row r="627" spans="1:7" ht="14.25" customHeight="1">
      <c r="A627" s="45">
        <v>620</v>
      </c>
      <c r="B627" s="209" t="s">
        <v>3505</v>
      </c>
      <c r="C627" s="183" t="s">
        <v>3812</v>
      </c>
      <c r="D627" s="50" t="s">
        <v>1412</v>
      </c>
      <c r="E627" s="19" t="s">
        <v>2871</v>
      </c>
      <c r="F627" s="19" t="s">
        <v>3664</v>
      </c>
      <c r="G627" s="19" t="s">
        <v>3658</v>
      </c>
    </row>
    <row r="628" spans="1:7" ht="14.25" customHeight="1">
      <c r="A628" s="45">
        <v>621</v>
      </c>
      <c r="B628" s="209" t="s">
        <v>3579</v>
      </c>
      <c r="C628" s="183" t="s">
        <v>3811</v>
      </c>
      <c r="D628" s="50" t="s">
        <v>1412</v>
      </c>
      <c r="E628" s="19" t="s">
        <v>2871</v>
      </c>
      <c r="F628" s="19" t="s">
        <v>3664</v>
      </c>
      <c r="G628" s="19" t="s">
        <v>3658</v>
      </c>
    </row>
    <row r="629" spans="1:7" ht="14.25" customHeight="1">
      <c r="A629" s="45">
        <v>622</v>
      </c>
      <c r="B629" s="209" t="s">
        <v>3503</v>
      </c>
      <c r="C629" s="183" t="s">
        <v>3809</v>
      </c>
      <c r="D629" s="50" t="s">
        <v>1412</v>
      </c>
      <c r="E629" s="19" t="s">
        <v>2871</v>
      </c>
      <c r="F629" s="19" t="s">
        <v>3664</v>
      </c>
      <c r="G629" s="19" t="s">
        <v>3658</v>
      </c>
    </row>
    <row r="630" spans="1:7" ht="14.25" customHeight="1">
      <c r="A630" s="45">
        <v>623</v>
      </c>
      <c r="B630" s="209" t="s">
        <v>3580</v>
      </c>
      <c r="C630" s="183" t="s">
        <v>3813</v>
      </c>
      <c r="D630" s="50" t="s">
        <v>1412</v>
      </c>
      <c r="E630" s="19" t="s">
        <v>2871</v>
      </c>
      <c r="F630" s="19" t="s">
        <v>3664</v>
      </c>
      <c r="G630" s="19" t="s">
        <v>3658</v>
      </c>
    </row>
    <row r="631" spans="1:7" ht="14.25" customHeight="1">
      <c r="A631" s="45">
        <v>624</v>
      </c>
      <c r="B631" s="317" t="s">
        <v>3581</v>
      </c>
      <c r="C631" s="255" t="s">
        <v>3814</v>
      </c>
      <c r="D631" s="254" t="s">
        <v>1412</v>
      </c>
      <c r="E631" s="19" t="s">
        <v>2871</v>
      </c>
      <c r="F631" s="19" t="s">
        <v>3664</v>
      </c>
      <c r="G631" s="19" t="s">
        <v>3659</v>
      </c>
    </row>
    <row r="632" spans="1:7" ht="14.25" customHeight="1">
      <c r="A632" s="45">
        <v>625</v>
      </c>
      <c r="B632" s="317" t="s">
        <v>3582</v>
      </c>
      <c r="C632" s="255" t="s">
        <v>3815</v>
      </c>
      <c r="D632" s="254" t="s">
        <v>1412</v>
      </c>
      <c r="E632" s="19" t="s">
        <v>2871</v>
      </c>
      <c r="F632" s="19" t="s">
        <v>3664</v>
      </c>
      <c r="G632" s="19" t="s">
        <v>3659</v>
      </c>
    </row>
    <row r="633" spans="1:7" ht="14.25" customHeight="1">
      <c r="A633" s="45">
        <v>626</v>
      </c>
      <c r="B633" s="318" t="s">
        <v>3508</v>
      </c>
      <c r="C633" s="265" t="s">
        <v>3818</v>
      </c>
      <c r="D633" s="51" t="s">
        <v>1412</v>
      </c>
      <c r="E633" s="19" t="s">
        <v>2871</v>
      </c>
      <c r="F633" s="19" t="s">
        <v>3664</v>
      </c>
      <c r="G633" s="19" t="s">
        <v>3660</v>
      </c>
    </row>
    <row r="634" spans="1:7" ht="14.25" customHeight="1">
      <c r="A634" s="45">
        <v>627</v>
      </c>
      <c r="B634" s="318" t="s">
        <v>3583</v>
      </c>
      <c r="C634" s="265" t="s">
        <v>3816</v>
      </c>
      <c r="D634" s="51" t="s">
        <v>1412</v>
      </c>
      <c r="E634" s="19" t="s">
        <v>2871</v>
      </c>
      <c r="F634" s="19" t="s">
        <v>3664</v>
      </c>
      <c r="G634" s="19" t="s">
        <v>3660</v>
      </c>
    </row>
    <row r="635" spans="1:7" ht="14.25" customHeight="1">
      <c r="A635" s="45">
        <v>628</v>
      </c>
      <c r="B635" s="318" t="s">
        <v>3584</v>
      </c>
      <c r="C635" s="265" t="s">
        <v>3819</v>
      </c>
      <c r="D635" s="51" t="s">
        <v>1412</v>
      </c>
      <c r="E635" s="19" t="s">
        <v>2871</v>
      </c>
      <c r="F635" s="19" t="s">
        <v>3664</v>
      </c>
      <c r="G635" s="19" t="s">
        <v>3660</v>
      </c>
    </row>
    <row r="636" spans="1:7" ht="14.25" customHeight="1">
      <c r="A636" s="45">
        <v>629</v>
      </c>
      <c r="B636" s="318" t="s">
        <v>3507</v>
      </c>
      <c r="C636" s="265" t="s">
        <v>3817</v>
      </c>
      <c r="D636" s="51" t="s">
        <v>1412</v>
      </c>
      <c r="E636" s="19" t="s">
        <v>2871</v>
      </c>
      <c r="F636" s="19" t="s">
        <v>3664</v>
      </c>
      <c r="G636" s="19" t="s">
        <v>3660</v>
      </c>
    </row>
    <row r="637" spans="1:7" ht="14.25" customHeight="1">
      <c r="A637" s="45">
        <v>630</v>
      </c>
      <c r="B637" s="56" t="s">
        <v>3595</v>
      </c>
      <c r="C637" s="56" t="s">
        <v>3822</v>
      </c>
      <c r="D637" s="44" t="s">
        <v>1412</v>
      </c>
      <c r="E637" s="19" t="s">
        <v>2871</v>
      </c>
      <c r="F637" s="19" t="s">
        <v>3664</v>
      </c>
      <c r="G637" s="19" t="s">
        <v>3661</v>
      </c>
    </row>
    <row r="638" spans="1:7" ht="14.25" customHeight="1">
      <c r="A638" s="45">
        <v>631</v>
      </c>
      <c r="B638" s="56" t="s">
        <v>2994</v>
      </c>
      <c r="C638" s="56" t="s">
        <v>3824</v>
      </c>
      <c r="D638" s="44" t="s">
        <v>1412</v>
      </c>
      <c r="E638" s="19" t="s">
        <v>2871</v>
      </c>
      <c r="F638" s="19" t="s">
        <v>3664</v>
      </c>
      <c r="G638" s="19" t="s">
        <v>3661</v>
      </c>
    </row>
    <row r="639" spans="1:7" ht="14.25" customHeight="1">
      <c r="A639" s="45">
        <v>632</v>
      </c>
      <c r="B639" s="56" t="s">
        <v>3649</v>
      </c>
      <c r="C639" s="56" t="s">
        <v>3823</v>
      </c>
      <c r="D639" s="44" t="s">
        <v>1412</v>
      </c>
      <c r="E639" s="19" t="s">
        <v>2871</v>
      </c>
      <c r="F639" s="19" t="s">
        <v>3664</v>
      </c>
      <c r="G639" s="19" t="s">
        <v>3661</v>
      </c>
    </row>
    <row r="640" spans="1:7" ht="14.25" customHeight="1">
      <c r="A640" s="45">
        <v>633</v>
      </c>
      <c r="B640" s="56" t="s">
        <v>3650</v>
      </c>
      <c r="C640" s="56" t="s">
        <v>3825</v>
      </c>
      <c r="D640" s="44" t="s">
        <v>1412</v>
      </c>
      <c r="E640" s="19" t="s">
        <v>2871</v>
      </c>
      <c r="F640" s="19" t="s">
        <v>3664</v>
      </c>
      <c r="G640" s="19" t="s">
        <v>3661</v>
      </c>
    </row>
    <row r="641" spans="1:7" ht="14.25" customHeight="1">
      <c r="A641" s="45">
        <v>634</v>
      </c>
      <c r="B641" s="56" t="s">
        <v>3592</v>
      </c>
      <c r="C641" s="56" t="s">
        <v>3820</v>
      </c>
      <c r="D641" s="44" t="s">
        <v>1412</v>
      </c>
      <c r="E641" s="19" t="s">
        <v>2871</v>
      </c>
      <c r="F641" s="19" t="s">
        <v>3664</v>
      </c>
      <c r="G641" s="19" t="s">
        <v>3661</v>
      </c>
    </row>
    <row r="642" spans="1:7" ht="14.25" customHeight="1">
      <c r="A642" s="45">
        <v>635</v>
      </c>
      <c r="B642" s="56" t="s">
        <v>3921</v>
      </c>
      <c r="C642" s="56" t="s">
        <v>3922</v>
      </c>
      <c r="D642" s="44" t="s">
        <v>1412</v>
      </c>
      <c r="E642" s="19" t="s">
        <v>2871</v>
      </c>
      <c r="F642" s="19" t="s">
        <v>3664</v>
      </c>
      <c r="G642" s="19" t="s">
        <v>3661</v>
      </c>
    </row>
    <row r="643" spans="1:7" ht="14.25" customHeight="1">
      <c r="A643" s="45">
        <v>636</v>
      </c>
      <c r="B643" s="56" t="s">
        <v>3590</v>
      </c>
      <c r="C643" s="56" t="s">
        <v>3826</v>
      </c>
      <c r="D643" s="56" t="s">
        <v>4008</v>
      </c>
      <c r="E643" s="19" t="s">
        <v>2871</v>
      </c>
      <c r="F643" s="19" t="s">
        <v>3664</v>
      </c>
      <c r="G643" s="19" t="s">
        <v>3661</v>
      </c>
    </row>
    <row r="644" spans="1:7" ht="14.25" customHeight="1">
      <c r="A644" s="45">
        <v>637</v>
      </c>
      <c r="B644" s="56" t="s">
        <v>3593</v>
      </c>
      <c r="C644" s="56" t="s">
        <v>3821</v>
      </c>
      <c r="D644" s="44" t="s">
        <v>1412</v>
      </c>
      <c r="E644" s="19" t="s">
        <v>2871</v>
      </c>
      <c r="F644" s="19" t="s">
        <v>3664</v>
      </c>
      <c r="G644" s="19" t="s">
        <v>3661</v>
      </c>
    </row>
    <row r="645" spans="1:7" ht="14.25" customHeight="1">
      <c r="A645" s="45">
        <v>638</v>
      </c>
      <c r="B645" s="36" t="s">
        <v>2893</v>
      </c>
      <c r="C645" s="55" t="s">
        <v>3208</v>
      </c>
      <c r="D645" s="36" t="s">
        <v>1412</v>
      </c>
      <c r="E645" s="19" t="s">
        <v>2871</v>
      </c>
      <c r="F645" s="19" t="s">
        <v>2885</v>
      </c>
      <c r="G645" s="19" t="s">
        <v>2617</v>
      </c>
    </row>
    <row r="646" spans="1:7" ht="14.25" customHeight="1">
      <c r="A646" s="45">
        <v>639</v>
      </c>
      <c r="B646" s="36" t="s">
        <v>2888</v>
      </c>
      <c r="C646" s="55" t="s">
        <v>3202</v>
      </c>
      <c r="D646" s="36" t="s">
        <v>1412</v>
      </c>
      <c r="E646" s="19" t="s">
        <v>2871</v>
      </c>
      <c r="F646" s="19" t="s">
        <v>2885</v>
      </c>
      <c r="G646" s="19" t="s">
        <v>2617</v>
      </c>
    </row>
    <row r="647" spans="1:7" ht="14.25" customHeight="1">
      <c r="A647" s="45">
        <v>640</v>
      </c>
      <c r="B647" s="36" t="s">
        <v>2892</v>
      </c>
      <c r="C647" s="55" t="s">
        <v>3207</v>
      </c>
      <c r="D647" s="36" t="s">
        <v>1412</v>
      </c>
      <c r="E647" s="19" t="s">
        <v>2871</v>
      </c>
      <c r="F647" s="19" t="s">
        <v>2885</v>
      </c>
      <c r="G647" s="19" t="s">
        <v>2617</v>
      </c>
    </row>
    <row r="648" spans="1:7" ht="14.25" customHeight="1">
      <c r="A648" s="45">
        <v>641</v>
      </c>
      <c r="B648" s="36" t="s">
        <v>2319</v>
      </c>
      <c r="C648" s="55" t="s">
        <v>3204</v>
      </c>
      <c r="D648" s="36" t="s">
        <v>1412</v>
      </c>
      <c r="E648" s="19" t="s">
        <v>2871</v>
      </c>
      <c r="F648" s="19" t="s">
        <v>2885</v>
      </c>
      <c r="G648" s="19" t="s">
        <v>2617</v>
      </c>
    </row>
    <row r="649" spans="1:7" ht="14.25" customHeight="1">
      <c r="A649" s="45">
        <v>642</v>
      </c>
      <c r="B649" s="36" t="s">
        <v>2894</v>
      </c>
      <c r="C649" s="55" t="s">
        <v>3209</v>
      </c>
      <c r="D649" s="36" t="s">
        <v>1412</v>
      </c>
      <c r="E649" s="19" t="s">
        <v>2871</v>
      </c>
      <c r="F649" s="19" t="s">
        <v>2885</v>
      </c>
      <c r="G649" s="19" t="s">
        <v>2617</v>
      </c>
    </row>
    <row r="650" spans="1:7" ht="14.25" customHeight="1">
      <c r="A650" s="45">
        <v>643</v>
      </c>
      <c r="B650" s="36" t="s">
        <v>2895</v>
      </c>
      <c r="C650" s="55" t="s">
        <v>3210</v>
      </c>
      <c r="D650" s="36" t="s">
        <v>1412</v>
      </c>
      <c r="E650" s="19" t="s">
        <v>2871</v>
      </c>
      <c r="F650" s="19" t="s">
        <v>2885</v>
      </c>
      <c r="G650" s="19" t="s">
        <v>2617</v>
      </c>
    </row>
    <row r="651" spans="1:7" ht="14.25" customHeight="1">
      <c r="A651" s="45">
        <v>644</v>
      </c>
      <c r="B651" s="36" t="s">
        <v>2891</v>
      </c>
      <c r="C651" s="55" t="s">
        <v>3206</v>
      </c>
      <c r="D651" s="36" t="s">
        <v>1412</v>
      </c>
      <c r="E651" s="19" t="s">
        <v>2871</v>
      </c>
      <c r="F651" s="19" t="s">
        <v>2885</v>
      </c>
      <c r="G651" s="19" t="s">
        <v>2617</v>
      </c>
    </row>
    <row r="652" spans="1:7" ht="14.25" customHeight="1">
      <c r="A652" s="45">
        <v>645</v>
      </c>
      <c r="B652" s="36" t="s">
        <v>2887</v>
      </c>
      <c r="C652" s="55" t="s">
        <v>3201</v>
      </c>
      <c r="D652" s="36" t="s">
        <v>1412</v>
      </c>
      <c r="E652" s="19" t="s">
        <v>2871</v>
      </c>
      <c r="F652" s="19" t="s">
        <v>2885</v>
      </c>
      <c r="G652" s="19" t="s">
        <v>2879</v>
      </c>
    </row>
    <row r="653" spans="1:7" ht="14.25" customHeight="1">
      <c r="A653" s="45">
        <v>646</v>
      </c>
      <c r="B653" s="36" t="s">
        <v>2886</v>
      </c>
      <c r="C653" s="55" t="s">
        <v>3200</v>
      </c>
      <c r="D653" s="36" t="s">
        <v>1412</v>
      </c>
      <c r="E653" s="19" t="s">
        <v>2871</v>
      </c>
      <c r="F653" s="19" t="s">
        <v>2885</v>
      </c>
      <c r="G653" s="19" t="s">
        <v>2879</v>
      </c>
    </row>
    <row r="654" spans="1:7" ht="14.25" customHeight="1">
      <c r="A654" s="45">
        <v>647</v>
      </c>
      <c r="B654" s="36" t="s">
        <v>2890</v>
      </c>
      <c r="C654" s="55" t="s">
        <v>3205</v>
      </c>
      <c r="D654" s="36" t="s">
        <v>1412</v>
      </c>
      <c r="E654" s="19" t="s">
        <v>2871</v>
      </c>
      <c r="F654" s="19" t="s">
        <v>2885</v>
      </c>
      <c r="G654" s="19" t="s">
        <v>2617</v>
      </c>
    </row>
    <row r="655" spans="1:7" ht="14.25" customHeight="1">
      <c r="A655" s="45">
        <v>648</v>
      </c>
      <c r="B655" s="36" t="s">
        <v>2889</v>
      </c>
      <c r="C655" s="55" t="s">
        <v>3203</v>
      </c>
      <c r="D655" s="36" t="s">
        <v>1412</v>
      </c>
      <c r="E655" s="19" t="s">
        <v>2871</v>
      </c>
      <c r="F655" s="19" t="s">
        <v>2885</v>
      </c>
      <c r="G655" s="19" t="s">
        <v>2617</v>
      </c>
    </row>
    <row r="656" spans="1:7" ht="14.25" customHeight="1">
      <c r="A656" s="45">
        <v>649</v>
      </c>
      <c r="B656" s="50" t="s">
        <v>2902</v>
      </c>
      <c r="C656" s="183" t="s">
        <v>3069</v>
      </c>
      <c r="D656" s="50" t="s">
        <v>1412</v>
      </c>
      <c r="E656" s="19" t="s">
        <v>2871</v>
      </c>
      <c r="F656" s="19" t="s">
        <v>2885</v>
      </c>
      <c r="G656" s="19" t="s">
        <v>2616</v>
      </c>
    </row>
    <row r="657" spans="1:7" ht="14.25" customHeight="1">
      <c r="A657" s="45">
        <v>650</v>
      </c>
      <c r="B657" s="50" t="s">
        <v>2898</v>
      </c>
      <c r="C657" s="183" t="s">
        <v>3213</v>
      </c>
      <c r="D657" s="50" t="s">
        <v>1412</v>
      </c>
      <c r="E657" s="19" t="s">
        <v>2871</v>
      </c>
      <c r="F657" s="19" t="s">
        <v>2885</v>
      </c>
      <c r="G657" s="19" t="s">
        <v>2616</v>
      </c>
    </row>
    <row r="658" spans="1:7" ht="14.25" customHeight="1">
      <c r="A658" s="45">
        <v>651</v>
      </c>
      <c r="B658" s="50" t="s">
        <v>2897</v>
      </c>
      <c r="C658" s="183" t="s">
        <v>3212</v>
      </c>
      <c r="D658" s="50" t="s">
        <v>1412</v>
      </c>
      <c r="E658" s="19" t="s">
        <v>2871</v>
      </c>
      <c r="F658" s="19" t="s">
        <v>2885</v>
      </c>
      <c r="G658" s="19" t="s">
        <v>2880</v>
      </c>
    </row>
    <row r="659" spans="1:7" ht="14.25" customHeight="1">
      <c r="A659" s="45">
        <v>652</v>
      </c>
      <c r="B659" s="50" t="s">
        <v>2916</v>
      </c>
      <c r="C659" s="183" t="s">
        <v>3238</v>
      </c>
      <c r="D659" s="50" t="s">
        <v>1412</v>
      </c>
      <c r="E659" s="19" t="s">
        <v>2871</v>
      </c>
      <c r="F659" s="19" t="s">
        <v>2885</v>
      </c>
      <c r="G659" s="19" t="s">
        <v>2616</v>
      </c>
    </row>
    <row r="660" spans="1:7" ht="14.25" customHeight="1">
      <c r="A660" s="45">
        <v>653</v>
      </c>
      <c r="B660" s="50" t="s">
        <v>2899</v>
      </c>
      <c r="C660" s="183" t="s">
        <v>3214</v>
      </c>
      <c r="D660" s="50" t="s">
        <v>1412</v>
      </c>
      <c r="E660" s="19" t="s">
        <v>2871</v>
      </c>
      <c r="F660" s="19" t="s">
        <v>2885</v>
      </c>
      <c r="G660" s="19" t="s">
        <v>2616</v>
      </c>
    </row>
    <row r="661" spans="1:7" ht="14.25" customHeight="1">
      <c r="A661" s="45">
        <v>654</v>
      </c>
      <c r="B661" s="50" t="s">
        <v>2896</v>
      </c>
      <c r="C661" s="183" t="s">
        <v>3211</v>
      </c>
      <c r="D661" s="50" t="s">
        <v>1412</v>
      </c>
      <c r="E661" s="19" t="s">
        <v>2871</v>
      </c>
      <c r="F661" s="19" t="s">
        <v>2885</v>
      </c>
      <c r="G661" s="19" t="s">
        <v>2880</v>
      </c>
    </row>
    <row r="662" spans="1:7" ht="14.25" customHeight="1">
      <c r="A662" s="45">
        <v>655</v>
      </c>
      <c r="B662" s="50" t="s">
        <v>2900</v>
      </c>
      <c r="C662" s="183" t="s">
        <v>3216</v>
      </c>
      <c r="D662" s="50" t="s">
        <v>1412</v>
      </c>
      <c r="E662" s="19" t="s">
        <v>2871</v>
      </c>
      <c r="F662" s="19" t="s">
        <v>2885</v>
      </c>
      <c r="G662" s="19" t="s">
        <v>2616</v>
      </c>
    </row>
    <row r="663" spans="1:7" ht="14.25" customHeight="1">
      <c r="A663" s="45">
        <v>656</v>
      </c>
      <c r="B663" s="50" t="s">
        <v>2901</v>
      </c>
      <c r="C663" s="183" t="s">
        <v>3217</v>
      </c>
      <c r="D663" s="50" t="s">
        <v>1412</v>
      </c>
      <c r="E663" s="19" t="s">
        <v>2871</v>
      </c>
      <c r="F663" s="19" t="s">
        <v>2885</v>
      </c>
      <c r="G663" s="19" t="s">
        <v>2616</v>
      </c>
    </row>
    <row r="664" spans="1:7" ht="14.25" customHeight="1">
      <c r="A664" s="45">
        <v>657</v>
      </c>
      <c r="B664" s="50" t="s">
        <v>1737</v>
      </c>
      <c r="C664" s="183" t="s">
        <v>3215</v>
      </c>
      <c r="D664" s="50" t="s">
        <v>1412</v>
      </c>
      <c r="E664" s="19" t="s">
        <v>2871</v>
      </c>
      <c r="F664" s="19" t="s">
        <v>2885</v>
      </c>
      <c r="G664" s="19" t="s">
        <v>2616</v>
      </c>
    </row>
    <row r="665" spans="1:7" ht="14.25" customHeight="1">
      <c r="A665" s="45">
        <v>658</v>
      </c>
      <c r="B665" s="254" t="s">
        <v>2904</v>
      </c>
      <c r="C665" s="255" t="s">
        <v>3220</v>
      </c>
      <c r="D665" s="254" t="s">
        <v>1412</v>
      </c>
      <c r="E665" s="19" t="s">
        <v>2871</v>
      </c>
      <c r="F665" s="19" t="s">
        <v>2885</v>
      </c>
      <c r="G665" s="19" t="s">
        <v>2587</v>
      </c>
    </row>
    <row r="666" spans="1:7" ht="14.25" customHeight="1">
      <c r="A666" s="45">
        <v>659</v>
      </c>
      <c r="B666" s="254" t="s">
        <v>2903</v>
      </c>
      <c r="C666" s="255" t="s">
        <v>3218</v>
      </c>
      <c r="D666" s="254" t="s">
        <v>1412</v>
      </c>
      <c r="E666" s="19" t="s">
        <v>2871</v>
      </c>
      <c r="F666" s="19" t="s">
        <v>2885</v>
      </c>
      <c r="G666" s="19" t="s">
        <v>2881</v>
      </c>
    </row>
    <row r="667" spans="1:7" ht="14.25" customHeight="1">
      <c r="A667" s="45">
        <v>660</v>
      </c>
      <c r="B667" s="255" t="s">
        <v>3283</v>
      </c>
      <c r="C667" s="255" t="s">
        <v>3219</v>
      </c>
      <c r="D667" s="254" t="s">
        <v>1412</v>
      </c>
      <c r="E667" s="19" t="s">
        <v>2871</v>
      </c>
      <c r="F667" s="19" t="s">
        <v>2885</v>
      </c>
      <c r="G667" s="19" t="s">
        <v>2881</v>
      </c>
    </row>
    <row r="668" spans="1:7" ht="14.25" customHeight="1">
      <c r="A668" s="45">
        <v>661</v>
      </c>
      <c r="B668" s="255" t="s">
        <v>3284</v>
      </c>
      <c r="C668" s="255" t="s">
        <v>3285</v>
      </c>
      <c r="D668" s="254" t="s">
        <v>1412</v>
      </c>
      <c r="E668" s="19" t="s">
        <v>2871</v>
      </c>
      <c r="F668" s="19" t="s">
        <v>2885</v>
      </c>
      <c r="G668" s="19" t="s">
        <v>2881</v>
      </c>
    </row>
    <row r="669" spans="1:7" ht="14.25" customHeight="1">
      <c r="A669" s="45">
        <v>662</v>
      </c>
      <c r="B669" s="254" t="s">
        <v>2906</v>
      </c>
      <c r="C669" s="255" t="s">
        <v>3222</v>
      </c>
      <c r="D669" s="254" t="s">
        <v>1412</v>
      </c>
      <c r="E669" s="19" t="s">
        <v>2871</v>
      </c>
      <c r="F669" s="19" t="s">
        <v>2885</v>
      </c>
      <c r="G669" s="19" t="s">
        <v>2587</v>
      </c>
    </row>
    <row r="670" spans="1:7" ht="14.25" customHeight="1">
      <c r="A670" s="45">
        <v>663</v>
      </c>
      <c r="B670" s="254" t="s">
        <v>2907</v>
      </c>
      <c r="C670" s="255" t="s">
        <v>3223</v>
      </c>
      <c r="D670" s="254" t="s">
        <v>1412</v>
      </c>
      <c r="E670" s="19" t="s">
        <v>2871</v>
      </c>
      <c r="F670" s="19" t="s">
        <v>2885</v>
      </c>
      <c r="G670" s="19" t="s">
        <v>2587</v>
      </c>
    </row>
    <row r="671" spans="1:7" ht="14.25" customHeight="1">
      <c r="A671" s="45">
        <v>664</v>
      </c>
      <c r="B671" s="254" t="s">
        <v>2905</v>
      </c>
      <c r="C671" s="255" t="s">
        <v>3221</v>
      </c>
      <c r="D671" s="254" t="s">
        <v>1412</v>
      </c>
      <c r="E671" s="19" t="s">
        <v>2871</v>
      </c>
      <c r="F671" s="19" t="s">
        <v>2885</v>
      </c>
      <c r="G671" s="19" t="s">
        <v>2587</v>
      </c>
    </row>
    <row r="672" spans="1:7" ht="14.25" customHeight="1">
      <c r="A672" s="45">
        <v>665</v>
      </c>
      <c r="B672" s="51" t="s">
        <v>2913</v>
      </c>
      <c r="C672" s="265" t="s">
        <v>3227</v>
      </c>
      <c r="D672" s="51" t="s">
        <v>1412</v>
      </c>
      <c r="E672" s="19" t="s">
        <v>2871</v>
      </c>
      <c r="F672" s="19" t="s">
        <v>2885</v>
      </c>
      <c r="G672" s="19" t="s">
        <v>2588</v>
      </c>
    </row>
    <row r="673" spans="1:7" ht="14.25" customHeight="1">
      <c r="A673" s="45">
        <v>666</v>
      </c>
      <c r="B673" s="51" t="s">
        <v>2908</v>
      </c>
      <c r="C673" s="265" t="s">
        <v>3224</v>
      </c>
      <c r="D673" s="51" t="s">
        <v>1412</v>
      </c>
      <c r="E673" s="19" t="s">
        <v>2871</v>
      </c>
      <c r="F673" s="19" t="s">
        <v>2885</v>
      </c>
      <c r="G673" s="19" t="s">
        <v>2883</v>
      </c>
    </row>
    <row r="674" spans="1:7" ht="14.25" customHeight="1">
      <c r="A674" s="45">
        <v>667</v>
      </c>
      <c r="B674" s="51" t="s">
        <v>2914</v>
      </c>
      <c r="C674" s="265" t="s">
        <v>3228</v>
      </c>
      <c r="D674" s="51" t="s">
        <v>1412</v>
      </c>
      <c r="E674" s="19" t="s">
        <v>2871</v>
      </c>
      <c r="F674" s="19" t="s">
        <v>2885</v>
      </c>
      <c r="G674" s="19" t="s">
        <v>2588</v>
      </c>
    </row>
    <row r="675" spans="1:7" ht="14.25" customHeight="1">
      <c r="A675" s="45">
        <v>668</v>
      </c>
      <c r="B675" s="51" t="s">
        <v>2911</v>
      </c>
      <c r="C675" s="265" t="s">
        <v>3146</v>
      </c>
      <c r="D675" s="51" t="s">
        <v>1412</v>
      </c>
      <c r="E675" s="19" t="s">
        <v>2871</v>
      </c>
      <c r="F675" s="19" t="s">
        <v>2885</v>
      </c>
      <c r="G675" s="19" t="s">
        <v>2588</v>
      </c>
    </row>
    <row r="676" spans="1:7" ht="14.25" customHeight="1">
      <c r="A676" s="45">
        <v>669</v>
      </c>
      <c r="B676" s="51" t="s">
        <v>2912</v>
      </c>
      <c r="C676" s="265" t="s">
        <v>3226</v>
      </c>
      <c r="D676" s="51" t="s">
        <v>1412</v>
      </c>
      <c r="E676" s="19" t="s">
        <v>2871</v>
      </c>
      <c r="F676" s="19" t="s">
        <v>2885</v>
      </c>
      <c r="G676" s="19" t="s">
        <v>2588</v>
      </c>
    </row>
    <row r="677" spans="1:7" ht="14.25" customHeight="1">
      <c r="A677" s="45">
        <v>670</v>
      </c>
      <c r="B677" s="51" t="s">
        <v>2915</v>
      </c>
      <c r="C677" s="265" t="s">
        <v>3229</v>
      </c>
      <c r="D677" s="51" t="s">
        <v>1412</v>
      </c>
      <c r="E677" s="19" t="s">
        <v>2871</v>
      </c>
      <c r="F677" s="19" t="s">
        <v>2885</v>
      </c>
      <c r="G677" s="19" t="s">
        <v>2588</v>
      </c>
    </row>
    <row r="678" spans="1:7" ht="14.25" customHeight="1">
      <c r="A678" s="45">
        <v>671</v>
      </c>
      <c r="B678" s="51" t="s">
        <v>2909</v>
      </c>
      <c r="C678" s="265" t="s">
        <v>3103</v>
      </c>
      <c r="D678" s="51" t="s">
        <v>1412</v>
      </c>
      <c r="E678" s="19" t="s">
        <v>2871</v>
      </c>
      <c r="F678" s="19" t="s">
        <v>2885</v>
      </c>
      <c r="G678" s="19" t="s">
        <v>2883</v>
      </c>
    </row>
    <row r="679" spans="1:7" ht="14.25" customHeight="1">
      <c r="A679" s="45">
        <v>672</v>
      </c>
      <c r="B679" s="51" t="s">
        <v>2910</v>
      </c>
      <c r="C679" s="265" t="s">
        <v>3225</v>
      </c>
      <c r="D679" s="51" t="s">
        <v>1412</v>
      </c>
      <c r="E679" s="19" t="s">
        <v>2871</v>
      </c>
      <c r="F679" s="19" t="s">
        <v>2885</v>
      </c>
      <c r="G679" s="19" t="s">
        <v>2588</v>
      </c>
    </row>
    <row r="680" spans="1:7" ht="14.25" customHeight="1">
      <c r="A680" s="45">
        <v>673</v>
      </c>
      <c r="B680" s="44" t="s">
        <v>2923</v>
      </c>
      <c r="C680" s="56" t="s">
        <v>3236</v>
      </c>
      <c r="D680" s="44" t="s">
        <v>1412</v>
      </c>
      <c r="E680" s="19" t="s">
        <v>2871</v>
      </c>
      <c r="F680" s="19" t="s">
        <v>2885</v>
      </c>
      <c r="G680" s="19" t="s">
        <v>2878</v>
      </c>
    </row>
    <row r="681" spans="1:7" ht="14.25" customHeight="1">
      <c r="A681" s="45">
        <v>674</v>
      </c>
      <c r="B681" s="44" t="s">
        <v>2917</v>
      </c>
      <c r="C681" s="56" t="s">
        <v>3230</v>
      </c>
      <c r="D681" s="44" t="s">
        <v>1412</v>
      </c>
      <c r="E681" s="19" t="s">
        <v>2871</v>
      </c>
      <c r="F681" s="19" t="s">
        <v>2885</v>
      </c>
      <c r="G681" s="19" t="s">
        <v>2538</v>
      </c>
    </row>
    <row r="682" spans="1:7" ht="14.25" customHeight="1">
      <c r="A682" s="45">
        <v>675</v>
      </c>
      <c r="B682" s="44" t="s">
        <v>2920</v>
      </c>
      <c r="C682" s="56" t="s">
        <v>3233</v>
      </c>
      <c r="D682" s="44" t="s">
        <v>1412</v>
      </c>
      <c r="E682" s="19" t="s">
        <v>2871</v>
      </c>
      <c r="F682" s="19" t="s">
        <v>2885</v>
      </c>
      <c r="G682" s="19" t="s">
        <v>2538</v>
      </c>
    </row>
    <row r="683" spans="1:7" ht="14.25" customHeight="1">
      <c r="A683" s="45">
        <v>676</v>
      </c>
      <c r="B683" s="44" t="s">
        <v>2924</v>
      </c>
      <c r="C683" s="56" t="s">
        <v>3237</v>
      </c>
      <c r="D683" s="44" t="s">
        <v>1412</v>
      </c>
      <c r="E683" s="19" t="s">
        <v>2871</v>
      </c>
      <c r="F683" s="19" t="s">
        <v>2885</v>
      </c>
      <c r="G683" s="19" t="s">
        <v>2878</v>
      </c>
    </row>
    <row r="684" spans="1:7" ht="14.25" customHeight="1">
      <c r="A684" s="45">
        <v>677</v>
      </c>
      <c r="B684" s="44" t="s">
        <v>2918</v>
      </c>
      <c r="C684" s="56" t="s">
        <v>3231</v>
      </c>
      <c r="D684" s="44" t="s">
        <v>1412</v>
      </c>
      <c r="E684" s="19" t="s">
        <v>2871</v>
      </c>
      <c r="F684" s="19" t="s">
        <v>2885</v>
      </c>
      <c r="G684" s="19" t="s">
        <v>2538</v>
      </c>
    </row>
    <row r="685" spans="1:7" ht="14.25" customHeight="1">
      <c r="A685" s="45">
        <v>678</v>
      </c>
      <c r="B685" s="44" t="s">
        <v>2919</v>
      </c>
      <c r="C685" s="56" t="s">
        <v>3232</v>
      </c>
      <c r="D685" s="44" t="s">
        <v>1412</v>
      </c>
      <c r="E685" s="19" t="s">
        <v>2871</v>
      </c>
      <c r="F685" s="19" t="s">
        <v>2885</v>
      </c>
      <c r="G685" s="19" t="s">
        <v>2538</v>
      </c>
    </row>
    <row r="686" spans="1:7" ht="14.25" customHeight="1">
      <c r="A686" s="45">
        <v>679</v>
      </c>
      <c r="B686" s="44" t="s">
        <v>2922</v>
      </c>
      <c r="C686" s="56" t="s">
        <v>3235</v>
      </c>
      <c r="D686" s="44" t="s">
        <v>1412</v>
      </c>
      <c r="E686" s="19" t="s">
        <v>2871</v>
      </c>
      <c r="F686" s="19" t="s">
        <v>2885</v>
      </c>
      <c r="G686" s="19" t="s">
        <v>2538</v>
      </c>
    </row>
    <row r="687" spans="1:7" ht="14.25" customHeight="1">
      <c r="A687" s="45">
        <v>680</v>
      </c>
      <c r="B687" s="44" t="s">
        <v>2921</v>
      </c>
      <c r="C687" s="56" t="s">
        <v>3234</v>
      </c>
      <c r="D687" s="44" t="s">
        <v>1412</v>
      </c>
      <c r="E687" s="19" t="s">
        <v>2871</v>
      </c>
      <c r="F687" s="19" t="s">
        <v>2885</v>
      </c>
      <c r="G687" s="19" t="s">
        <v>2538</v>
      </c>
    </row>
    <row r="688" spans="1:7" ht="14.25" customHeight="1">
      <c r="A688" s="45">
        <v>681</v>
      </c>
      <c r="B688" s="33" t="s">
        <v>783</v>
      </c>
      <c r="C688" s="46" t="s">
        <v>785</v>
      </c>
      <c r="D688" s="33" t="s">
        <v>784</v>
      </c>
      <c r="E688" s="28" t="s">
        <v>1358</v>
      </c>
      <c r="F688" s="28" t="s">
        <v>1359</v>
      </c>
      <c r="G688" s="28" t="s">
        <v>729</v>
      </c>
    </row>
    <row r="689" spans="1:7" ht="14.25" customHeight="1">
      <c r="A689" s="45">
        <v>682</v>
      </c>
      <c r="B689" s="33" t="s">
        <v>778</v>
      </c>
      <c r="C689" s="46" t="s">
        <v>1391</v>
      </c>
      <c r="D689" s="33" t="s">
        <v>779</v>
      </c>
      <c r="E689" s="28" t="s">
        <v>1358</v>
      </c>
      <c r="F689" s="28" t="s">
        <v>1359</v>
      </c>
      <c r="G689" s="28" t="s">
        <v>1378</v>
      </c>
    </row>
    <row r="690" spans="1:7" ht="14.25" customHeight="1">
      <c r="A690" s="45">
        <v>683</v>
      </c>
      <c r="B690" s="33" t="s">
        <v>733</v>
      </c>
      <c r="C690" s="46" t="s">
        <v>735</v>
      </c>
      <c r="D690" s="33" t="s">
        <v>734</v>
      </c>
      <c r="E690" s="28" t="s">
        <v>1358</v>
      </c>
      <c r="F690" s="28" t="s">
        <v>1359</v>
      </c>
      <c r="G690" s="28" t="s">
        <v>736</v>
      </c>
    </row>
    <row r="691" spans="1:7" ht="14.25" customHeight="1">
      <c r="A691" s="45">
        <v>684</v>
      </c>
      <c r="B691" s="33" t="s">
        <v>746</v>
      </c>
      <c r="C691" s="46" t="s">
        <v>1386</v>
      </c>
      <c r="D691" s="33" t="s">
        <v>747</v>
      </c>
      <c r="E691" s="28" t="s">
        <v>1358</v>
      </c>
      <c r="F691" s="28" t="s">
        <v>1359</v>
      </c>
      <c r="G691" s="28" t="s">
        <v>736</v>
      </c>
    </row>
    <row r="692" spans="1:7" ht="14.25" customHeight="1">
      <c r="A692" s="45">
        <v>685</v>
      </c>
      <c r="B692" s="33" t="s">
        <v>764</v>
      </c>
      <c r="C692" s="46" t="s">
        <v>1389</v>
      </c>
      <c r="D692" s="33" t="s">
        <v>765</v>
      </c>
      <c r="E692" s="28" t="s">
        <v>1358</v>
      </c>
      <c r="F692" s="28" t="s">
        <v>1359</v>
      </c>
      <c r="G692" s="28" t="s">
        <v>1378</v>
      </c>
    </row>
    <row r="693" spans="1:7" ht="14.25" customHeight="1">
      <c r="A693" s="45">
        <v>686</v>
      </c>
      <c r="B693" s="33" t="s">
        <v>768</v>
      </c>
      <c r="C693" s="46" t="s">
        <v>770</v>
      </c>
      <c r="D693" s="33" t="s">
        <v>769</v>
      </c>
      <c r="E693" s="28" t="s">
        <v>1358</v>
      </c>
      <c r="F693" s="28" t="s">
        <v>1359</v>
      </c>
      <c r="G693" s="28" t="s">
        <v>1378</v>
      </c>
    </row>
    <row r="694" spans="1:7" ht="14.25" customHeight="1">
      <c r="A694" s="45">
        <v>687</v>
      </c>
      <c r="B694" s="33" t="s">
        <v>748</v>
      </c>
      <c r="C694" s="46" t="s">
        <v>750</v>
      </c>
      <c r="D694" s="33" t="s">
        <v>749</v>
      </c>
      <c r="E694" s="28" t="s">
        <v>1358</v>
      </c>
      <c r="F694" s="28" t="s">
        <v>1359</v>
      </c>
      <c r="G694" s="28" t="s">
        <v>1378</v>
      </c>
    </row>
    <row r="695" spans="1:7" ht="14.25" customHeight="1">
      <c r="A695" s="45">
        <v>688</v>
      </c>
      <c r="B695" s="33" t="s">
        <v>737</v>
      </c>
      <c r="C695" s="46" t="s">
        <v>739</v>
      </c>
      <c r="D695" s="33" t="s">
        <v>738</v>
      </c>
      <c r="E695" s="28" t="s">
        <v>1358</v>
      </c>
      <c r="F695" s="28" t="s">
        <v>1359</v>
      </c>
      <c r="G695" s="28" t="s">
        <v>1378</v>
      </c>
    </row>
    <row r="696" spans="1:7" ht="14.25" customHeight="1">
      <c r="A696" s="45">
        <v>689</v>
      </c>
      <c r="B696" s="33" t="s">
        <v>726</v>
      </c>
      <c r="C696" s="46" t="s">
        <v>728</v>
      </c>
      <c r="D696" s="33" t="s">
        <v>727</v>
      </c>
      <c r="E696" s="28" t="s">
        <v>1358</v>
      </c>
      <c r="F696" s="28" t="s">
        <v>1359</v>
      </c>
      <c r="G696" s="28" t="s">
        <v>729</v>
      </c>
    </row>
    <row r="697" spans="1:7" ht="14.25" customHeight="1">
      <c r="A697" s="45">
        <v>690</v>
      </c>
      <c r="B697" s="33" t="s">
        <v>723</v>
      </c>
      <c r="C697" s="46" t="s">
        <v>725</v>
      </c>
      <c r="D697" s="33" t="s">
        <v>724</v>
      </c>
      <c r="E697" s="28" t="s">
        <v>1358</v>
      </c>
      <c r="F697" s="28" t="s">
        <v>1359</v>
      </c>
      <c r="G697" s="28" t="s">
        <v>1377</v>
      </c>
    </row>
    <row r="698" spans="1:7" ht="14.25" customHeight="1">
      <c r="A698" s="45">
        <v>691</v>
      </c>
      <c r="B698" s="53" t="s">
        <v>2795</v>
      </c>
      <c r="C698" s="46" t="s">
        <v>2794</v>
      </c>
      <c r="D698" s="33" t="s">
        <v>774</v>
      </c>
      <c r="E698" s="28" t="s">
        <v>1358</v>
      </c>
      <c r="F698" s="28" t="s">
        <v>1359</v>
      </c>
      <c r="G698" s="28" t="s">
        <v>1378</v>
      </c>
    </row>
    <row r="699" spans="1:7" ht="14.25" customHeight="1">
      <c r="A699" s="45">
        <v>692</v>
      </c>
      <c r="B699" s="33" t="s">
        <v>751</v>
      </c>
      <c r="C699" s="46" t="s">
        <v>753</v>
      </c>
      <c r="D699" s="33" t="s">
        <v>752</v>
      </c>
      <c r="E699" s="28" t="s">
        <v>1358</v>
      </c>
      <c r="F699" s="28" t="s">
        <v>1359</v>
      </c>
      <c r="G699" s="28" t="s">
        <v>736</v>
      </c>
    </row>
    <row r="700" spans="1:7" ht="14.25" customHeight="1">
      <c r="A700" s="45">
        <v>693</v>
      </c>
      <c r="B700" s="33" t="s">
        <v>761</v>
      </c>
      <c r="C700" s="46" t="s">
        <v>763</v>
      </c>
      <c r="D700" s="33" t="s">
        <v>762</v>
      </c>
      <c r="E700" s="28" t="s">
        <v>1358</v>
      </c>
      <c r="F700" s="28" t="s">
        <v>1359</v>
      </c>
      <c r="G700" s="28" t="s">
        <v>736</v>
      </c>
    </row>
    <row r="701" spans="1:7" ht="14.25" customHeight="1">
      <c r="A701" s="45">
        <v>694</v>
      </c>
      <c r="B701" s="33" t="s">
        <v>780</v>
      </c>
      <c r="C701" s="46" t="s">
        <v>782</v>
      </c>
      <c r="D701" s="33" t="s">
        <v>781</v>
      </c>
      <c r="E701" s="28" t="s">
        <v>1358</v>
      </c>
      <c r="F701" s="28" t="s">
        <v>1359</v>
      </c>
      <c r="G701" s="28" t="s">
        <v>1379</v>
      </c>
    </row>
    <row r="702" spans="1:7" ht="14.25" customHeight="1">
      <c r="A702" s="45">
        <v>695</v>
      </c>
      <c r="B702" s="33" t="s">
        <v>756</v>
      </c>
      <c r="C702" s="46" t="s">
        <v>758</v>
      </c>
      <c r="D702" s="33" t="s">
        <v>757</v>
      </c>
      <c r="E702" s="28" t="s">
        <v>1358</v>
      </c>
      <c r="F702" s="28" t="s">
        <v>1359</v>
      </c>
      <c r="G702" s="28" t="s">
        <v>736</v>
      </c>
    </row>
    <row r="703" spans="1:7" ht="14.25" customHeight="1">
      <c r="A703" s="45">
        <v>696</v>
      </c>
      <c r="B703" s="33" t="s">
        <v>775</v>
      </c>
      <c r="C703" s="46" t="s">
        <v>777</v>
      </c>
      <c r="D703" s="33" t="s">
        <v>776</v>
      </c>
      <c r="E703" s="28" t="s">
        <v>1358</v>
      </c>
      <c r="F703" s="28" t="s">
        <v>1359</v>
      </c>
      <c r="G703" s="28" t="s">
        <v>736</v>
      </c>
    </row>
    <row r="704" spans="1:7" ht="14.25" customHeight="1">
      <c r="A704" s="45">
        <v>697</v>
      </c>
      <c r="B704" s="33" t="s">
        <v>754</v>
      </c>
      <c r="C704" s="46" t="s">
        <v>1387</v>
      </c>
      <c r="D704" s="33" t="s">
        <v>755</v>
      </c>
      <c r="E704" s="28" t="s">
        <v>1358</v>
      </c>
      <c r="F704" s="28" t="s">
        <v>1359</v>
      </c>
      <c r="G704" s="28" t="s">
        <v>1378</v>
      </c>
    </row>
    <row r="705" spans="1:7" ht="14.25" customHeight="1">
      <c r="A705" s="45">
        <v>698</v>
      </c>
      <c r="B705" s="33" t="s">
        <v>759</v>
      </c>
      <c r="C705" s="46" t="s">
        <v>1388</v>
      </c>
      <c r="D705" s="33" t="s">
        <v>760</v>
      </c>
      <c r="E705" s="28" t="s">
        <v>1358</v>
      </c>
      <c r="F705" s="28" t="s">
        <v>1359</v>
      </c>
      <c r="G705" s="28" t="s">
        <v>1378</v>
      </c>
    </row>
    <row r="706" spans="1:7" ht="14.25" customHeight="1">
      <c r="A706" s="45">
        <v>699</v>
      </c>
      <c r="B706" s="33" t="s">
        <v>730</v>
      </c>
      <c r="C706" s="46" t="s">
        <v>732</v>
      </c>
      <c r="D706" s="33" t="s">
        <v>731</v>
      </c>
      <c r="E706" s="28" t="s">
        <v>1358</v>
      </c>
      <c r="F706" s="28" t="s">
        <v>1359</v>
      </c>
      <c r="G706" s="28" t="s">
        <v>1378</v>
      </c>
    </row>
    <row r="707" spans="1:7" ht="14.25" customHeight="1">
      <c r="A707" s="45">
        <v>700</v>
      </c>
      <c r="B707" s="33" t="s">
        <v>743</v>
      </c>
      <c r="C707" s="46" t="s">
        <v>745</v>
      </c>
      <c r="D707" s="33" t="s">
        <v>744</v>
      </c>
      <c r="E707" s="28" t="s">
        <v>1358</v>
      </c>
      <c r="F707" s="28" t="s">
        <v>1359</v>
      </c>
      <c r="G707" s="28" t="s">
        <v>1378</v>
      </c>
    </row>
    <row r="708" spans="1:7" ht="14.25" customHeight="1">
      <c r="A708" s="45">
        <v>701</v>
      </c>
      <c r="B708" s="33" t="s">
        <v>771</v>
      </c>
      <c r="C708" s="46" t="s">
        <v>773</v>
      </c>
      <c r="D708" s="33" t="s">
        <v>772</v>
      </c>
      <c r="E708" s="28" t="s">
        <v>1358</v>
      </c>
      <c r="F708" s="28" t="s">
        <v>1359</v>
      </c>
      <c r="G708" s="28" t="s">
        <v>736</v>
      </c>
    </row>
    <row r="709" spans="1:7" ht="14.25" customHeight="1">
      <c r="A709" s="45">
        <v>702</v>
      </c>
      <c r="B709" s="33" t="s">
        <v>740</v>
      </c>
      <c r="C709" s="46" t="s">
        <v>742</v>
      </c>
      <c r="D709" s="33" t="s">
        <v>741</v>
      </c>
      <c r="E709" s="28" t="s">
        <v>1358</v>
      </c>
      <c r="F709" s="28" t="s">
        <v>1359</v>
      </c>
      <c r="G709" s="28" t="s">
        <v>736</v>
      </c>
    </row>
    <row r="710" spans="1:7" ht="14.25" customHeight="1">
      <c r="A710" s="45">
        <v>703</v>
      </c>
      <c r="B710" s="33" t="s">
        <v>766</v>
      </c>
      <c r="C710" s="46" t="s">
        <v>1390</v>
      </c>
      <c r="D710" s="33" t="s">
        <v>767</v>
      </c>
      <c r="E710" s="28" t="s">
        <v>1358</v>
      </c>
      <c r="F710" s="28" t="s">
        <v>1359</v>
      </c>
      <c r="G710" s="28" t="s">
        <v>736</v>
      </c>
    </row>
    <row r="711" spans="1:7" ht="14.25" customHeight="1">
      <c r="A711" s="45">
        <v>704</v>
      </c>
      <c r="B711" s="32" t="s">
        <v>795</v>
      </c>
      <c r="C711" s="47" t="s">
        <v>797</v>
      </c>
      <c r="D711" s="32" t="s">
        <v>796</v>
      </c>
      <c r="E711" s="28" t="s">
        <v>1358</v>
      </c>
      <c r="F711" s="28" t="s">
        <v>1359</v>
      </c>
      <c r="G711" s="28" t="s">
        <v>1381</v>
      </c>
    </row>
    <row r="712" spans="1:7" ht="14.25" customHeight="1">
      <c r="A712" s="45">
        <v>705</v>
      </c>
      <c r="B712" s="32" t="s">
        <v>858</v>
      </c>
      <c r="C712" s="47" t="s">
        <v>860</v>
      </c>
      <c r="D712" s="32" t="s">
        <v>859</v>
      </c>
      <c r="E712" s="28" t="s">
        <v>1358</v>
      </c>
      <c r="F712" s="28" t="s">
        <v>1359</v>
      </c>
      <c r="G712" s="28" t="s">
        <v>1380</v>
      </c>
    </row>
    <row r="713" spans="1:7" ht="14.25" customHeight="1">
      <c r="A713" s="45">
        <v>706</v>
      </c>
      <c r="B713" s="32" t="s">
        <v>798</v>
      </c>
      <c r="C713" s="47" t="s">
        <v>800</v>
      </c>
      <c r="D713" s="32" t="s">
        <v>799</v>
      </c>
      <c r="E713" s="28" t="s">
        <v>1358</v>
      </c>
      <c r="F713" s="28" t="s">
        <v>1359</v>
      </c>
      <c r="G713" s="28" t="s">
        <v>1381</v>
      </c>
    </row>
    <row r="714" spans="1:7" ht="14.25" customHeight="1">
      <c r="A714" s="45">
        <v>707</v>
      </c>
      <c r="B714" s="209" t="s">
        <v>4172</v>
      </c>
      <c r="C714" s="183" t="s">
        <v>4173</v>
      </c>
      <c r="D714" s="209" t="s">
        <v>4159</v>
      </c>
      <c r="E714" s="19" t="s">
        <v>4176</v>
      </c>
      <c r="F714" s="19" t="s">
        <v>4178</v>
      </c>
      <c r="G714" s="19" t="s">
        <v>1370</v>
      </c>
    </row>
    <row r="715" spans="1:7" ht="14.25" customHeight="1">
      <c r="A715" s="45">
        <v>708</v>
      </c>
      <c r="B715" s="32" t="s">
        <v>829</v>
      </c>
      <c r="C715" s="47" t="s">
        <v>831</v>
      </c>
      <c r="D715" s="32" t="s">
        <v>830</v>
      </c>
      <c r="E715" s="28" t="s">
        <v>1358</v>
      </c>
      <c r="F715" s="28" t="s">
        <v>1359</v>
      </c>
      <c r="G715" s="28" t="s">
        <v>1381</v>
      </c>
    </row>
    <row r="716" spans="1:7" ht="14.25" customHeight="1">
      <c r="A716" s="45">
        <v>709</v>
      </c>
      <c r="B716" s="32" t="s">
        <v>826</v>
      </c>
      <c r="C716" s="47" t="s">
        <v>828</v>
      </c>
      <c r="D716" s="32" t="s">
        <v>827</v>
      </c>
      <c r="E716" s="28" t="s">
        <v>1358</v>
      </c>
      <c r="F716" s="28" t="s">
        <v>1359</v>
      </c>
      <c r="G716" s="28" t="s">
        <v>1381</v>
      </c>
    </row>
    <row r="717" spans="1:7" ht="14.25" customHeight="1">
      <c r="A717" s="45">
        <v>710</v>
      </c>
      <c r="B717" s="32" t="s">
        <v>832</v>
      </c>
      <c r="C717" s="47" t="s">
        <v>834</v>
      </c>
      <c r="D717" s="32" t="s">
        <v>833</v>
      </c>
      <c r="E717" s="28" t="s">
        <v>1358</v>
      </c>
      <c r="F717" s="28" t="s">
        <v>1359</v>
      </c>
      <c r="G717" s="28" t="s">
        <v>1381</v>
      </c>
    </row>
    <row r="718" spans="1:7" ht="14.25" customHeight="1">
      <c r="A718" s="45">
        <v>711</v>
      </c>
      <c r="B718" s="32" t="s">
        <v>823</v>
      </c>
      <c r="C718" s="47" t="s">
        <v>825</v>
      </c>
      <c r="D718" s="32" t="s">
        <v>824</v>
      </c>
      <c r="E718" s="28" t="s">
        <v>1358</v>
      </c>
      <c r="F718" s="28" t="s">
        <v>1359</v>
      </c>
      <c r="G718" s="28" t="s">
        <v>1381</v>
      </c>
    </row>
    <row r="719" spans="1:7" ht="14.25" customHeight="1">
      <c r="A719" s="45">
        <v>712</v>
      </c>
      <c r="B719" s="32" t="s">
        <v>849</v>
      </c>
      <c r="C719" s="47" t="s">
        <v>851</v>
      </c>
      <c r="D719" s="32" t="s">
        <v>850</v>
      </c>
      <c r="E719" s="28" t="s">
        <v>1358</v>
      </c>
      <c r="F719" s="28" t="s">
        <v>1359</v>
      </c>
      <c r="G719" s="28" t="s">
        <v>1381</v>
      </c>
    </row>
    <row r="720" spans="1:7" ht="14.25" customHeight="1">
      <c r="A720" s="45">
        <v>713</v>
      </c>
      <c r="B720" s="32" t="s">
        <v>804</v>
      </c>
      <c r="C720" s="47" t="s">
        <v>806</v>
      </c>
      <c r="D720" s="32" t="s">
        <v>805</v>
      </c>
      <c r="E720" s="28" t="s">
        <v>1358</v>
      </c>
      <c r="F720" s="28" t="s">
        <v>1359</v>
      </c>
      <c r="G720" s="28" t="s">
        <v>1381</v>
      </c>
    </row>
    <row r="721" spans="1:7" ht="14.25" customHeight="1">
      <c r="A721" s="45">
        <v>714</v>
      </c>
      <c r="B721" s="32" t="s">
        <v>835</v>
      </c>
      <c r="C721" s="47" t="s">
        <v>836</v>
      </c>
      <c r="D721" s="54" t="s">
        <v>4248</v>
      </c>
      <c r="E721" s="28" t="s">
        <v>1358</v>
      </c>
      <c r="F721" s="28" t="s">
        <v>1359</v>
      </c>
      <c r="G721" s="28" t="s">
        <v>1381</v>
      </c>
    </row>
    <row r="722" spans="1:7" ht="14.25" customHeight="1">
      <c r="A722" s="45">
        <v>715</v>
      </c>
      <c r="B722" s="32" t="s">
        <v>812</v>
      </c>
      <c r="C722" s="47" t="s">
        <v>814</v>
      </c>
      <c r="D722" s="32" t="s">
        <v>813</v>
      </c>
      <c r="E722" s="28" t="s">
        <v>1358</v>
      </c>
      <c r="F722" s="28" t="s">
        <v>1359</v>
      </c>
      <c r="G722" s="28" t="s">
        <v>1381</v>
      </c>
    </row>
    <row r="723" spans="1:7" ht="14.25" customHeight="1">
      <c r="A723" s="45">
        <v>716</v>
      </c>
      <c r="B723" s="32" t="s">
        <v>792</v>
      </c>
      <c r="C723" s="47" t="s">
        <v>794</v>
      </c>
      <c r="D723" s="32" t="s">
        <v>793</v>
      </c>
      <c r="E723" s="28" t="s">
        <v>1358</v>
      </c>
      <c r="F723" s="28" t="s">
        <v>1359</v>
      </c>
      <c r="G723" s="28" t="s">
        <v>1381</v>
      </c>
    </row>
    <row r="724" spans="1:7" ht="14.25" customHeight="1">
      <c r="A724" s="45">
        <v>717</v>
      </c>
      <c r="B724" s="209" t="s">
        <v>4174</v>
      </c>
      <c r="C724" s="183" t="s">
        <v>4175</v>
      </c>
      <c r="D724" s="209" t="s">
        <v>4119</v>
      </c>
      <c r="E724" s="19" t="s">
        <v>4177</v>
      </c>
      <c r="F724" s="19" t="s">
        <v>4179</v>
      </c>
      <c r="G724" s="19" t="s">
        <v>1370</v>
      </c>
    </row>
    <row r="725" spans="1:7" ht="14.25" customHeight="1">
      <c r="A725" s="45">
        <v>718</v>
      </c>
      <c r="B725" s="32" t="s">
        <v>810</v>
      </c>
      <c r="C725" s="47" t="s">
        <v>1392</v>
      </c>
      <c r="D725" s="32" t="s">
        <v>811</v>
      </c>
      <c r="E725" s="28" t="s">
        <v>1358</v>
      </c>
      <c r="F725" s="28" t="s">
        <v>1359</v>
      </c>
      <c r="G725" s="28" t="s">
        <v>1381</v>
      </c>
    </row>
    <row r="726" spans="1:7" ht="14.25" customHeight="1">
      <c r="A726" s="45">
        <v>719</v>
      </c>
      <c r="B726" s="32" t="s">
        <v>843</v>
      </c>
      <c r="C726" s="47" t="s">
        <v>845</v>
      </c>
      <c r="D726" s="32" t="s">
        <v>844</v>
      </c>
      <c r="E726" s="28" t="s">
        <v>1358</v>
      </c>
      <c r="F726" s="28" t="s">
        <v>1359</v>
      </c>
      <c r="G726" s="28" t="s">
        <v>1381</v>
      </c>
    </row>
    <row r="727" spans="1:7" ht="14.25" customHeight="1">
      <c r="A727" s="45">
        <v>720</v>
      </c>
      <c r="B727" s="32" t="s">
        <v>807</v>
      </c>
      <c r="C727" s="47" t="s">
        <v>809</v>
      </c>
      <c r="D727" s="32" t="s">
        <v>808</v>
      </c>
      <c r="E727" s="28" t="s">
        <v>1358</v>
      </c>
      <c r="F727" s="28" t="s">
        <v>1359</v>
      </c>
      <c r="G727" s="28" t="s">
        <v>1381</v>
      </c>
    </row>
    <row r="728" spans="1:7" ht="14.25" customHeight="1">
      <c r="A728" s="45">
        <v>721</v>
      </c>
      <c r="B728" s="32" t="s">
        <v>815</v>
      </c>
      <c r="C728" s="47" t="s">
        <v>4218</v>
      </c>
      <c r="D728" s="32" t="s">
        <v>816</v>
      </c>
      <c r="E728" s="28" t="s">
        <v>1358</v>
      </c>
      <c r="F728" s="28" t="s">
        <v>1359</v>
      </c>
      <c r="G728" s="28" t="s">
        <v>1381</v>
      </c>
    </row>
    <row r="729" spans="1:7" ht="14.25" customHeight="1">
      <c r="A729" s="45">
        <v>722</v>
      </c>
      <c r="B729" s="32" t="s">
        <v>852</v>
      </c>
      <c r="C729" s="47" t="s">
        <v>854</v>
      </c>
      <c r="D729" s="32" t="s">
        <v>853</v>
      </c>
      <c r="E729" s="28" t="s">
        <v>1358</v>
      </c>
      <c r="F729" s="28" t="s">
        <v>1359</v>
      </c>
      <c r="G729" s="28" t="s">
        <v>1381</v>
      </c>
    </row>
    <row r="730" spans="1:7" ht="14.25" customHeight="1">
      <c r="A730" s="45">
        <v>723</v>
      </c>
      <c r="B730" s="32" t="s">
        <v>817</v>
      </c>
      <c r="C730" s="47" t="s">
        <v>819</v>
      </c>
      <c r="D730" s="32" t="s">
        <v>818</v>
      </c>
      <c r="E730" s="28" t="s">
        <v>1358</v>
      </c>
      <c r="F730" s="28" t="s">
        <v>1359</v>
      </c>
      <c r="G730" s="28" t="s">
        <v>1381</v>
      </c>
    </row>
    <row r="731" spans="1:7" ht="14.25" customHeight="1">
      <c r="A731" s="45">
        <v>724</v>
      </c>
      <c r="B731" s="32" t="s">
        <v>855</v>
      </c>
      <c r="C731" s="47" t="s">
        <v>857</v>
      </c>
      <c r="D731" s="32" t="s">
        <v>856</v>
      </c>
      <c r="E731" s="28" t="s">
        <v>1358</v>
      </c>
      <c r="F731" s="28" t="s">
        <v>1359</v>
      </c>
      <c r="G731" s="28" t="s">
        <v>1380</v>
      </c>
    </row>
    <row r="732" spans="1:7" ht="14.25" customHeight="1">
      <c r="A732" s="45">
        <v>725</v>
      </c>
      <c r="B732" s="32" t="s">
        <v>840</v>
      </c>
      <c r="C732" s="47" t="s">
        <v>842</v>
      </c>
      <c r="D732" s="32" t="s">
        <v>841</v>
      </c>
      <c r="E732" s="28" t="s">
        <v>1358</v>
      </c>
      <c r="F732" s="28" t="s">
        <v>1359</v>
      </c>
      <c r="G732" s="28" t="s">
        <v>1381</v>
      </c>
    </row>
    <row r="733" spans="1:7" ht="14.25" customHeight="1">
      <c r="A733" s="45">
        <v>726</v>
      </c>
      <c r="B733" s="32" t="s">
        <v>820</v>
      </c>
      <c r="C733" s="47" t="s">
        <v>822</v>
      </c>
      <c r="D733" s="32" t="s">
        <v>821</v>
      </c>
      <c r="E733" s="28" t="s">
        <v>1358</v>
      </c>
      <c r="F733" s="28" t="s">
        <v>1359</v>
      </c>
      <c r="G733" s="28" t="s">
        <v>1381</v>
      </c>
    </row>
    <row r="734" spans="1:7" ht="14.25" customHeight="1">
      <c r="A734" s="45">
        <v>727</v>
      </c>
      <c r="B734" s="32" t="s">
        <v>789</v>
      </c>
      <c r="C734" s="47" t="s">
        <v>791</v>
      </c>
      <c r="D734" s="32" t="s">
        <v>790</v>
      </c>
      <c r="E734" s="28" t="s">
        <v>1358</v>
      </c>
      <c r="F734" s="28" t="s">
        <v>1359</v>
      </c>
      <c r="G734" s="28" t="s">
        <v>1380</v>
      </c>
    </row>
    <row r="735" spans="1:7" ht="14.25" customHeight="1">
      <c r="A735" s="45">
        <v>728</v>
      </c>
      <c r="B735" s="32" t="s">
        <v>786</v>
      </c>
      <c r="C735" s="47" t="s">
        <v>788</v>
      </c>
      <c r="D735" s="32" t="s">
        <v>787</v>
      </c>
      <c r="E735" s="28" t="s">
        <v>1358</v>
      </c>
      <c r="F735" s="28" t="s">
        <v>1359</v>
      </c>
      <c r="G735" s="28" t="s">
        <v>1380</v>
      </c>
    </row>
    <row r="736" spans="1:7" ht="14.25" customHeight="1">
      <c r="A736" s="45">
        <v>729</v>
      </c>
      <c r="B736" s="32" t="s">
        <v>837</v>
      </c>
      <c r="C736" s="47" t="s">
        <v>839</v>
      </c>
      <c r="D736" s="32" t="s">
        <v>838</v>
      </c>
      <c r="E736" s="28" t="s">
        <v>1358</v>
      </c>
      <c r="F736" s="28" t="s">
        <v>1359</v>
      </c>
      <c r="G736" s="28" t="s">
        <v>1381</v>
      </c>
    </row>
    <row r="737" spans="1:7" ht="14.25" customHeight="1">
      <c r="A737" s="45">
        <v>730</v>
      </c>
      <c r="B737" s="32" t="s">
        <v>846</v>
      </c>
      <c r="C737" s="47" t="s">
        <v>848</v>
      </c>
      <c r="D737" s="32" t="s">
        <v>847</v>
      </c>
      <c r="E737" s="28" t="s">
        <v>1358</v>
      </c>
      <c r="F737" s="28" t="s">
        <v>1359</v>
      </c>
      <c r="G737" s="28" t="s">
        <v>1381</v>
      </c>
    </row>
    <row r="738" spans="1:7" ht="14.25" customHeight="1">
      <c r="A738" s="45">
        <v>731</v>
      </c>
      <c r="B738" s="32" t="s">
        <v>801</v>
      </c>
      <c r="C738" s="47" t="s">
        <v>803</v>
      </c>
      <c r="D738" s="32" t="s">
        <v>802</v>
      </c>
      <c r="E738" s="28" t="s">
        <v>1358</v>
      </c>
      <c r="F738" s="28" t="s">
        <v>1359</v>
      </c>
      <c r="G738" s="28" t="s">
        <v>1381</v>
      </c>
    </row>
    <row r="739" spans="1:7" ht="14.25" customHeight="1">
      <c r="A739" s="45">
        <v>732</v>
      </c>
      <c r="B739" s="251" t="s">
        <v>913</v>
      </c>
      <c r="C739" s="252" t="s">
        <v>915</v>
      </c>
      <c r="D739" s="251" t="s">
        <v>914</v>
      </c>
      <c r="E739" s="28" t="s">
        <v>1358</v>
      </c>
      <c r="F739" s="28" t="s">
        <v>1359</v>
      </c>
      <c r="G739" s="28" t="s">
        <v>871</v>
      </c>
    </row>
    <row r="740" spans="1:7" ht="14.25" customHeight="1">
      <c r="A740" s="45">
        <v>733</v>
      </c>
      <c r="B740" s="251" t="s">
        <v>932</v>
      </c>
      <c r="C740" s="252" t="s">
        <v>934</v>
      </c>
      <c r="D740" s="251" t="s">
        <v>933</v>
      </c>
      <c r="E740" s="28" t="s">
        <v>1358</v>
      </c>
      <c r="F740" s="28" t="s">
        <v>1359</v>
      </c>
      <c r="G740" s="28" t="s">
        <v>871</v>
      </c>
    </row>
    <row r="741" spans="1:7" ht="14.25" customHeight="1">
      <c r="A741" s="45">
        <v>734</v>
      </c>
      <c r="B741" s="251" t="s">
        <v>928</v>
      </c>
      <c r="C741" s="252" t="s">
        <v>1394</v>
      </c>
      <c r="D741" s="251" t="s">
        <v>929</v>
      </c>
      <c r="E741" s="28" t="s">
        <v>1358</v>
      </c>
      <c r="F741" s="28" t="s">
        <v>1359</v>
      </c>
      <c r="G741" s="28" t="s">
        <v>871</v>
      </c>
    </row>
    <row r="742" spans="1:7" ht="14.25" customHeight="1">
      <c r="A742" s="45">
        <v>735</v>
      </c>
      <c r="B742" s="251" t="s">
        <v>930</v>
      </c>
      <c r="C742" s="252" t="s">
        <v>1395</v>
      </c>
      <c r="D742" s="251" t="s">
        <v>931</v>
      </c>
      <c r="E742" s="28" t="s">
        <v>1358</v>
      </c>
      <c r="F742" s="28" t="s">
        <v>1359</v>
      </c>
      <c r="G742" s="28" t="s">
        <v>871</v>
      </c>
    </row>
    <row r="743" spans="1:7" ht="14.25" customHeight="1">
      <c r="A743" s="45">
        <v>736</v>
      </c>
      <c r="B743" s="251" t="s">
        <v>925</v>
      </c>
      <c r="C743" s="252" t="s">
        <v>927</v>
      </c>
      <c r="D743" s="251" t="s">
        <v>926</v>
      </c>
      <c r="E743" s="28" t="s">
        <v>1358</v>
      </c>
      <c r="F743" s="28" t="s">
        <v>1359</v>
      </c>
      <c r="G743" s="28" t="s">
        <v>871</v>
      </c>
    </row>
    <row r="744" spans="1:7" ht="14.25" customHeight="1">
      <c r="A744" s="45">
        <v>737</v>
      </c>
      <c r="B744" s="251" t="s">
        <v>910</v>
      </c>
      <c r="C744" s="252" t="s">
        <v>912</v>
      </c>
      <c r="D744" s="251" t="s">
        <v>911</v>
      </c>
      <c r="E744" s="28" t="s">
        <v>1358</v>
      </c>
      <c r="F744" s="28" t="s">
        <v>1359</v>
      </c>
      <c r="G744" s="28" t="s">
        <v>871</v>
      </c>
    </row>
    <row r="745" spans="1:7" ht="14.25" customHeight="1">
      <c r="A745" s="45">
        <v>738</v>
      </c>
      <c r="B745" s="251" t="s">
        <v>887</v>
      </c>
      <c r="C745" s="252" t="s">
        <v>889</v>
      </c>
      <c r="D745" s="251" t="s">
        <v>888</v>
      </c>
      <c r="E745" s="28" t="s">
        <v>1358</v>
      </c>
      <c r="F745" s="28" t="s">
        <v>1359</v>
      </c>
      <c r="G745" s="28" t="s">
        <v>871</v>
      </c>
    </row>
    <row r="746" spans="1:7" ht="14.25" customHeight="1">
      <c r="A746" s="45">
        <v>739</v>
      </c>
      <c r="B746" s="251" t="s">
        <v>922</v>
      </c>
      <c r="C746" s="252" t="s">
        <v>924</v>
      </c>
      <c r="D746" s="251" t="s">
        <v>923</v>
      </c>
      <c r="E746" s="28" t="s">
        <v>1358</v>
      </c>
      <c r="F746" s="28" t="s">
        <v>1359</v>
      </c>
      <c r="G746" s="28" t="s">
        <v>871</v>
      </c>
    </row>
    <row r="747" spans="1:7" ht="14.25" customHeight="1">
      <c r="A747" s="45">
        <v>740</v>
      </c>
      <c r="B747" s="251" t="s">
        <v>898</v>
      </c>
      <c r="C747" s="252" t="s">
        <v>900</v>
      </c>
      <c r="D747" s="251" t="s">
        <v>899</v>
      </c>
      <c r="E747" s="28" t="s">
        <v>1358</v>
      </c>
      <c r="F747" s="28" t="s">
        <v>1359</v>
      </c>
      <c r="G747" s="28" t="s">
        <v>871</v>
      </c>
    </row>
    <row r="748" spans="1:7" ht="14.25" customHeight="1">
      <c r="A748" s="45">
        <v>741</v>
      </c>
      <c r="B748" s="251" t="s">
        <v>861</v>
      </c>
      <c r="C748" s="252" t="s">
        <v>863</v>
      </c>
      <c r="D748" s="251" t="s">
        <v>862</v>
      </c>
      <c r="E748" s="28" t="s">
        <v>1358</v>
      </c>
      <c r="F748" s="28" t="s">
        <v>1359</v>
      </c>
      <c r="G748" s="28" t="s">
        <v>864</v>
      </c>
    </row>
    <row r="749" spans="1:7" ht="14.25" customHeight="1">
      <c r="A749" s="45">
        <v>742</v>
      </c>
      <c r="B749" s="251" t="s">
        <v>893</v>
      </c>
      <c r="C749" s="252" t="s">
        <v>895</v>
      </c>
      <c r="D749" s="251" t="s">
        <v>894</v>
      </c>
      <c r="E749" s="28" t="s">
        <v>1358</v>
      </c>
      <c r="F749" s="28" t="s">
        <v>1359</v>
      </c>
      <c r="G749" s="28" t="s">
        <v>871</v>
      </c>
    </row>
    <row r="750" spans="1:7" ht="14.25" customHeight="1">
      <c r="A750" s="45">
        <v>743</v>
      </c>
      <c r="B750" s="251" t="s">
        <v>904</v>
      </c>
      <c r="C750" s="252" t="s">
        <v>906</v>
      </c>
      <c r="D750" s="251" t="s">
        <v>905</v>
      </c>
      <c r="E750" s="28" t="s">
        <v>1358</v>
      </c>
      <c r="F750" s="28" t="s">
        <v>1359</v>
      </c>
      <c r="G750" s="28" t="s">
        <v>871</v>
      </c>
    </row>
    <row r="751" spans="1:7" ht="14.25" customHeight="1">
      <c r="A751" s="45">
        <v>744</v>
      </c>
      <c r="B751" s="251" t="s">
        <v>919</v>
      </c>
      <c r="C751" s="252" t="s">
        <v>921</v>
      </c>
      <c r="D751" s="251" t="s">
        <v>920</v>
      </c>
      <c r="E751" s="28" t="s">
        <v>1358</v>
      </c>
      <c r="F751" s="28" t="s">
        <v>1359</v>
      </c>
      <c r="G751" s="28" t="s">
        <v>871</v>
      </c>
    </row>
    <row r="752" spans="1:7" ht="14.25" customHeight="1">
      <c r="A752" s="45">
        <v>745</v>
      </c>
      <c r="B752" s="251" t="s">
        <v>938</v>
      </c>
      <c r="C752" s="252" t="s">
        <v>940</v>
      </c>
      <c r="D752" s="251" t="s">
        <v>939</v>
      </c>
      <c r="E752" s="28" t="s">
        <v>1358</v>
      </c>
      <c r="F752" s="28" t="s">
        <v>1359</v>
      </c>
      <c r="G752" s="28" t="s">
        <v>871</v>
      </c>
    </row>
    <row r="753" spans="1:7" ht="14.25" customHeight="1">
      <c r="A753" s="45">
        <v>746</v>
      </c>
      <c r="B753" s="251" t="s">
        <v>875</v>
      </c>
      <c r="C753" s="252" t="s">
        <v>877</v>
      </c>
      <c r="D753" s="251" t="s">
        <v>876</v>
      </c>
      <c r="E753" s="28" t="s">
        <v>1358</v>
      </c>
      <c r="F753" s="28" t="s">
        <v>1359</v>
      </c>
      <c r="G753" s="28" t="s">
        <v>871</v>
      </c>
    </row>
    <row r="754" spans="1:7" ht="14.25" customHeight="1">
      <c r="A754" s="45">
        <v>747</v>
      </c>
      <c r="B754" s="251" t="s">
        <v>916</v>
      </c>
      <c r="C754" s="252" t="s">
        <v>918</v>
      </c>
      <c r="D754" s="251" t="s">
        <v>917</v>
      </c>
      <c r="E754" s="28" t="s">
        <v>1358</v>
      </c>
      <c r="F754" s="28" t="s">
        <v>1359</v>
      </c>
      <c r="G754" s="28" t="s">
        <v>871</v>
      </c>
    </row>
    <row r="755" spans="1:7" ht="14.25" customHeight="1">
      <c r="A755" s="45">
        <v>748</v>
      </c>
      <c r="B755" s="251" t="s">
        <v>881</v>
      </c>
      <c r="C755" s="252" t="s">
        <v>883</v>
      </c>
      <c r="D755" s="251" t="s">
        <v>882</v>
      </c>
      <c r="E755" s="28" t="s">
        <v>1358</v>
      </c>
      <c r="F755" s="28" t="s">
        <v>1359</v>
      </c>
      <c r="G755" s="28" t="s">
        <v>871</v>
      </c>
    </row>
    <row r="756" spans="1:7" ht="14.25" customHeight="1">
      <c r="A756" s="45">
        <v>749</v>
      </c>
      <c r="B756" s="251" t="s">
        <v>878</v>
      </c>
      <c r="C756" s="252" t="s">
        <v>880</v>
      </c>
      <c r="D756" s="251" t="s">
        <v>879</v>
      </c>
      <c r="E756" s="28" t="s">
        <v>1358</v>
      </c>
      <c r="F756" s="28" t="s">
        <v>1359</v>
      </c>
      <c r="G756" s="28" t="s">
        <v>871</v>
      </c>
    </row>
    <row r="757" spans="1:7" ht="14.25" customHeight="1">
      <c r="A757" s="45">
        <v>750</v>
      </c>
      <c r="B757" s="251" t="s">
        <v>907</v>
      </c>
      <c r="C757" s="252" t="s">
        <v>909</v>
      </c>
      <c r="D757" s="251" t="s">
        <v>908</v>
      </c>
      <c r="E757" s="28" t="s">
        <v>1358</v>
      </c>
      <c r="F757" s="28" t="s">
        <v>1359</v>
      </c>
      <c r="G757" s="28" t="s">
        <v>871</v>
      </c>
    </row>
    <row r="758" spans="1:7" ht="14.25" customHeight="1">
      <c r="A758" s="45">
        <v>751</v>
      </c>
      <c r="B758" s="251" t="s">
        <v>896</v>
      </c>
      <c r="C758" s="252" t="s">
        <v>1393</v>
      </c>
      <c r="D758" s="251" t="s">
        <v>897</v>
      </c>
      <c r="E758" s="28" t="s">
        <v>1358</v>
      </c>
      <c r="F758" s="28" t="s">
        <v>1359</v>
      </c>
      <c r="G758" s="28" t="s">
        <v>871</v>
      </c>
    </row>
    <row r="759" spans="1:7" ht="14.25" customHeight="1">
      <c r="A759" s="45">
        <v>752</v>
      </c>
      <c r="B759" s="251" t="s">
        <v>884</v>
      </c>
      <c r="C759" s="252" t="s">
        <v>886</v>
      </c>
      <c r="D759" s="251" t="s">
        <v>885</v>
      </c>
      <c r="E759" s="28" t="s">
        <v>1358</v>
      </c>
      <c r="F759" s="28" t="s">
        <v>1359</v>
      </c>
      <c r="G759" s="28" t="s">
        <v>871</v>
      </c>
    </row>
    <row r="760" spans="1:7" ht="14.25" customHeight="1">
      <c r="A760" s="45">
        <v>753</v>
      </c>
      <c r="B760" s="251" t="s">
        <v>872</v>
      </c>
      <c r="C760" s="252" t="s">
        <v>874</v>
      </c>
      <c r="D760" s="251" t="s">
        <v>873</v>
      </c>
      <c r="E760" s="28" t="s">
        <v>1358</v>
      </c>
      <c r="F760" s="28" t="s">
        <v>1359</v>
      </c>
      <c r="G760" s="28" t="s">
        <v>871</v>
      </c>
    </row>
    <row r="761" spans="1:7" ht="14.25" customHeight="1">
      <c r="A761" s="45">
        <v>754</v>
      </c>
      <c r="B761" s="251" t="s">
        <v>901</v>
      </c>
      <c r="C761" s="252" t="s">
        <v>903</v>
      </c>
      <c r="D761" s="251" t="s">
        <v>902</v>
      </c>
      <c r="E761" s="28" t="s">
        <v>1358</v>
      </c>
      <c r="F761" s="28" t="s">
        <v>1359</v>
      </c>
      <c r="G761" s="28" t="s">
        <v>871</v>
      </c>
    </row>
    <row r="762" spans="1:7" ht="14.25" customHeight="1">
      <c r="A762" s="45">
        <v>755</v>
      </c>
      <c r="B762" s="251" t="s">
        <v>935</v>
      </c>
      <c r="C762" s="252" t="s">
        <v>937</v>
      </c>
      <c r="D762" s="251" t="s">
        <v>936</v>
      </c>
      <c r="E762" s="28" t="s">
        <v>1358</v>
      </c>
      <c r="F762" s="28" t="s">
        <v>1359</v>
      </c>
      <c r="G762" s="28" t="s">
        <v>871</v>
      </c>
    </row>
    <row r="763" spans="1:7" ht="14.25" customHeight="1">
      <c r="A763" s="45">
        <v>756</v>
      </c>
      <c r="B763" s="251" t="s">
        <v>868</v>
      </c>
      <c r="C763" s="252" t="s">
        <v>870</v>
      </c>
      <c r="D763" s="251" t="s">
        <v>869</v>
      </c>
      <c r="E763" s="28" t="s">
        <v>1358</v>
      </c>
      <c r="F763" s="28" t="s">
        <v>1359</v>
      </c>
      <c r="G763" s="28" t="s">
        <v>871</v>
      </c>
    </row>
    <row r="764" spans="1:7" ht="14.25" customHeight="1">
      <c r="A764" s="45">
        <v>757</v>
      </c>
      <c r="B764" s="251" t="s">
        <v>865</v>
      </c>
      <c r="C764" s="252" t="s">
        <v>867</v>
      </c>
      <c r="D764" s="251" t="s">
        <v>866</v>
      </c>
      <c r="E764" s="28" t="s">
        <v>1358</v>
      </c>
      <c r="F764" s="28" t="s">
        <v>1359</v>
      </c>
      <c r="G764" s="28" t="s">
        <v>864</v>
      </c>
    </row>
    <row r="765" spans="1:7" ht="14.25" customHeight="1">
      <c r="A765" s="45">
        <v>758</v>
      </c>
      <c r="B765" s="251" t="s">
        <v>890</v>
      </c>
      <c r="C765" s="252" t="s">
        <v>892</v>
      </c>
      <c r="D765" s="251" t="s">
        <v>891</v>
      </c>
      <c r="E765" s="28" t="s">
        <v>1358</v>
      </c>
      <c r="F765" s="28" t="s">
        <v>1359</v>
      </c>
      <c r="G765" s="28" t="s">
        <v>871</v>
      </c>
    </row>
    <row r="766" spans="1:7" ht="14.25" customHeight="1">
      <c r="A766" s="45">
        <v>759</v>
      </c>
      <c r="B766" s="31" t="s">
        <v>950</v>
      </c>
      <c r="C766" s="48" t="s">
        <v>952</v>
      </c>
      <c r="D766" s="31" t="s">
        <v>951</v>
      </c>
      <c r="E766" s="28" t="s">
        <v>1358</v>
      </c>
      <c r="F766" s="28" t="s">
        <v>1359</v>
      </c>
      <c r="G766" s="28" t="s">
        <v>1383</v>
      </c>
    </row>
    <row r="767" spans="1:7" ht="14.25" customHeight="1">
      <c r="A767" s="45">
        <v>760</v>
      </c>
      <c r="B767" s="31" t="s">
        <v>953</v>
      </c>
      <c r="C767" s="48" t="s">
        <v>955</v>
      </c>
      <c r="D767" s="31" t="s">
        <v>954</v>
      </c>
      <c r="E767" s="28" t="s">
        <v>1358</v>
      </c>
      <c r="F767" s="28" t="s">
        <v>1359</v>
      </c>
      <c r="G767" s="28" t="s">
        <v>1383</v>
      </c>
    </row>
    <row r="768" spans="1:7" ht="14.25" customHeight="1">
      <c r="A768" s="45">
        <v>761</v>
      </c>
      <c r="B768" s="31" t="s">
        <v>959</v>
      </c>
      <c r="C768" s="48" t="s">
        <v>1396</v>
      </c>
      <c r="D768" s="31" t="s">
        <v>960</v>
      </c>
      <c r="E768" s="28" t="s">
        <v>1358</v>
      </c>
      <c r="F768" s="28" t="s">
        <v>1359</v>
      </c>
      <c r="G768" s="28" t="s">
        <v>1383</v>
      </c>
    </row>
    <row r="769" spans="1:7" ht="14.25" customHeight="1">
      <c r="A769" s="45">
        <v>762</v>
      </c>
      <c r="B769" s="31" t="s">
        <v>944</v>
      </c>
      <c r="C769" s="48" t="s">
        <v>946</v>
      </c>
      <c r="D769" s="31" t="s">
        <v>945</v>
      </c>
      <c r="E769" s="28" t="s">
        <v>1358</v>
      </c>
      <c r="F769" s="28" t="s">
        <v>1359</v>
      </c>
      <c r="G769" s="28" t="s">
        <v>1382</v>
      </c>
    </row>
    <row r="770" spans="1:7" ht="14.25" customHeight="1">
      <c r="A770" s="45">
        <v>763</v>
      </c>
      <c r="B770" s="31" t="s">
        <v>947</v>
      </c>
      <c r="C770" s="48" t="s">
        <v>949</v>
      </c>
      <c r="D770" s="31" t="s">
        <v>948</v>
      </c>
      <c r="E770" s="28" t="s">
        <v>1358</v>
      </c>
      <c r="F770" s="28" t="s">
        <v>1359</v>
      </c>
      <c r="G770" s="28" t="s">
        <v>1383</v>
      </c>
    </row>
    <row r="771" spans="1:7" ht="14.25" customHeight="1">
      <c r="A771" s="45">
        <v>764</v>
      </c>
      <c r="B771" s="31" t="s">
        <v>963</v>
      </c>
      <c r="C771" s="48" t="s">
        <v>1398</v>
      </c>
      <c r="D771" s="31" t="s">
        <v>964</v>
      </c>
      <c r="E771" s="28" t="s">
        <v>1358</v>
      </c>
      <c r="F771" s="28" t="s">
        <v>1359</v>
      </c>
      <c r="G771" s="28" t="s">
        <v>1383</v>
      </c>
    </row>
    <row r="772" spans="1:7" ht="14.25" customHeight="1">
      <c r="A772" s="45">
        <v>765</v>
      </c>
      <c r="B772" s="31" t="s">
        <v>961</v>
      </c>
      <c r="C772" s="48" t="s">
        <v>1397</v>
      </c>
      <c r="D772" s="31" t="s">
        <v>962</v>
      </c>
      <c r="E772" s="28" t="s">
        <v>1358</v>
      </c>
      <c r="F772" s="28" t="s">
        <v>1359</v>
      </c>
      <c r="G772" s="28" t="s">
        <v>1383</v>
      </c>
    </row>
    <row r="773" spans="1:7" ht="14.25" customHeight="1">
      <c r="A773" s="45">
        <v>766</v>
      </c>
      <c r="B773" s="31" t="s">
        <v>941</v>
      </c>
      <c r="C773" s="48" t="s">
        <v>943</v>
      </c>
      <c r="D773" s="31" t="s">
        <v>942</v>
      </c>
      <c r="E773" s="28" t="s">
        <v>1358</v>
      </c>
      <c r="F773" s="28" t="s">
        <v>1359</v>
      </c>
      <c r="G773" s="28" t="s">
        <v>1382</v>
      </c>
    </row>
    <row r="774" spans="1:7" ht="14.25" customHeight="1">
      <c r="A774" s="45">
        <v>767</v>
      </c>
      <c r="B774" s="31" t="s">
        <v>965</v>
      </c>
      <c r="C774" s="48" t="s">
        <v>2797</v>
      </c>
      <c r="D774" s="31" t="s">
        <v>966</v>
      </c>
      <c r="E774" s="28" t="s">
        <v>1358</v>
      </c>
      <c r="F774" s="28" t="s">
        <v>1359</v>
      </c>
      <c r="G774" s="28" t="s">
        <v>1383</v>
      </c>
    </row>
    <row r="775" spans="1:7" ht="14.25" customHeight="1">
      <c r="A775" s="45">
        <v>768</v>
      </c>
      <c r="B775" s="31" t="s">
        <v>956</v>
      </c>
      <c r="C775" s="48" t="s">
        <v>958</v>
      </c>
      <c r="D775" s="31" t="s">
        <v>957</v>
      </c>
      <c r="E775" s="28" t="s">
        <v>1358</v>
      </c>
      <c r="F775" s="28" t="s">
        <v>1359</v>
      </c>
      <c r="G775" s="28" t="s">
        <v>1383</v>
      </c>
    </row>
    <row r="776" spans="1:7" ht="14.25" customHeight="1">
      <c r="A776" s="45">
        <v>769</v>
      </c>
      <c r="B776" s="30" t="s">
        <v>992</v>
      </c>
      <c r="C776" s="49" t="s">
        <v>1403</v>
      </c>
      <c r="D776" s="30" t="s">
        <v>993</v>
      </c>
      <c r="E776" s="28" t="s">
        <v>1358</v>
      </c>
      <c r="F776" s="28" t="s">
        <v>1359</v>
      </c>
      <c r="G776" s="28" t="s">
        <v>1385</v>
      </c>
    </row>
    <row r="777" spans="1:7" ht="14.25" customHeight="1">
      <c r="A777" s="45">
        <v>770</v>
      </c>
      <c r="B777" s="30" t="s">
        <v>970</v>
      </c>
      <c r="C777" s="49" t="s">
        <v>972</v>
      </c>
      <c r="D777" s="30" t="s">
        <v>971</v>
      </c>
      <c r="E777" s="28" t="s">
        <v>1358</v>
      </c>
      <c r="F777" s="28" t="s">
        <v>1359</v>
      </c>
      <c r="G777" s="28" t="s">
        <v>1384</v>
      </c>
    </row>
    <row r="778" spans="1:7" ht="14.25" customHeight="1">
      <c r="A778" s="45">
        <v>771</v>
      </c>
      <c r="B778" s="30" t="s">
        <v>1030</v>
      </c>
      <c r="C778" s="49" t="s">
        <v>1032</v>
      </c>
      <c r="D778" s="30" t="s">
        <v>1031</v>
      </c>
      <c r="E778" s="28" t="s">
        <v>1358</v>
      </c>
      <c r="F778" s="28" t="s">
        <v>1359</v>
      </c>
      <c r="G778" s="28" t="s">
        <v>1385</v>
      </c>
    </row>
    <row r="779" spans="1:7" ht="14.25" customHeight="1">
      <c r="A779" s="45">
        <v>772</v>
      </c>
      <c r="B779" s="30" t="s">
        <v>967</v>
      </c>
      <c r="C779" s="49" t="s">
        <v>969</v>
      </c>
      <c r="D779" s="30" t="s">
        <v>968</v>
      </c>
      <c r="E779" s="28" t="s">
        <v>1358</v>
      </c>
      <c r="F779" s="28" t="s">
        <v>1359</v>
      </c>
      <c r="G779" s="28" t="s">
        <v>1384</v>
      </c>
    </row>
    <row r="780" spans="1:7" ht="14.25" customHeight="1">
      <c r="A780" s="45">
        <v>773</v>
      </c>
      <c r="B780" s="30" t="s">
        <v>1033</v>
      </c>
      <c r="C780" s="49" t="s">
        <v>1035</v>
      </c>
      <c r="D780" s="30" t="s">
        <v>1034</v>
      </c>
      <c r="E780" s="28" t="s">
        <v>1358</v>
      </c>
      <c r="F780" s="28" t="s">
        <v>1359</v>
      </c>
      <c r="G780" s="28" t="s">
        <v>1385</v>
      </c>
    </row>
    <row r="781" spans="1:7" ht="14.25" customHeight="1">
      <c r="A781" s="45">
        <v>774</v>
      </c>
      <c r="B781" s="30" t="s">
        <v>997</v>
      </c>
      <c r="C781" s="49" t="s">
        <v>999</v>
      </c>
      <c r="D781" s="30" t="s">
        <v>998</v>
      </c>
      <c r="E781" s="28" t="s">
        <v>1358</v>
      </c>
      <c r="F781" s="28" t="s">
        <v>1359</v>
      </c>
      <c r="G781" s="28" t="s">
        <v>1385</v>
      </c>
    </row>
    <row r="782" spans="1:7" ht="14.25" customHeight="1">
      <c r="A782" s="45">
        <v>775</v>
      </c>
      <c r="B782" s="30" t="s">
        <v>1048</v>
      </c>
      <c r="C782" s="49" t="s">
        <v>1406</v>
      </c>
      <c r="D782" s="30" t="s">
        <v>1049</v>
      </c>
      <c r="E782" s="28" t="s">
        <v>1358</v>
      </c>
      <c r="F782" s="28" t="s">
        <v>1359</v>
      </c>
      <c r="G782" s="28" t="s">
        <v>1385</v>
      </c>
    </row>
    <row r="783" spans="1:7" ht="14.25" customHeight="1">
      <c r="A783" s="45">
        <v>776</v>
      </c>
      <c r="B783" s="30" t="s">
        <v>1036</v>
      </c>
      <c r="C783" s="49" t="s">
        <v>1038</v>
      </c>
      <c r="D783" s="30" t="s">
        <v>1037</v>
      </c>
      <c r="E783" s="28" t="s">
        <v>1358</v>
      </c>
      <c r="F783" s="28" t="s">
        <v>1359</v>
      </c>
      <c r="G783" s="28" t="s">
        <v>1385</v>
      </c>
    </row>
    <row r="784" spans="1:7" ht="14.25" customHeight="1">
      <c r="A784" s="45">
        <v>777</v>
      </c>
      <c r="B784" s="30" t="s">
        <v>1025</v>
      </c>
      <c r="C784" s="49" t="s">
        <v>1405</v>
      </c>
      <c r="D784" s="30" t="s">
        <v>1026</v>
      </c>
      <c r="E784" s="28" t="s">
        <v>1358</v>
      </c>
      <c r="F784" s="28" t="s">
        <v>1359</v>
      </c>
      <c r="G784" s="28" t="s">
        <v>1385</v>
      </c>
    </row>
    <row r="785" spans="1:8" ht="14.25" customHeight="1">
      <c r="A785" s="45">
        <v>778</v>
      </c>
      <c r="B785" s="30" t="s">
        <v>1023</v>
      </c>
      <c r="C785" s="49" t="s">
        <v>1404</v>
      </c>
      <c r="D785" s="30" t="s">
        <v>1024</v>
      </c>
      <c r="E785" s="28" t="s">
        <v>1358</v>
      </c>
      <c r="F785" s="28" t="s">
        <v>1359</v>
      </c>
      <c r="G785" s="28" t="s">
        <v>1385</v>
      </c>
    </row>
    <row r="786" spans="1:8" ht="14.25" customHeight="1">
      <c r="A786" s="45">
        <v>779</v>
      </c>
      <c r="B786" s="30" t="s">
        <v>1006</v>
      </c>
      <c r="C786" s="49" t="s">
        <v>1006</v>
      </c>
      <c r="D786" s="30" t="s">
        <v>1007</v>
      </c>
      <c r="E786" s="28" t="s">
        <v>1358</v>
      </c>
      <c r="F786" s="28" t="s">
        <v>1359</v>
      </c>
      <c r="G786" s="28" t="s">
        <v>1385</v>
      </c>
    </row>
    <row r="787" spans="1:8" ht="14.25" customHeight="1">
      <c r="A787" s="45">
        <v>780</v>
      </c>
      <c r="B787" s="30" t="s">
        <v>1050</v>
      </c>
      <c r="C787" s="49" t="s">
        <v>1052</v>
      </c>
      <c r="D787" s="30" t="s">
        <v>1051</v>
      </c>
      <c r="E787" s="28" t="s">
        <v>1358</v>
      </c>
      <c r="F787" s="28" t="s">
        <v>1359</v>
      </c>
      <c r="G787" s="28" t="s">
        <v>1385</v>
      </c>
    </row>
    <row r="788" spans="1:8" ht="14.25" customHeight="1">
      <c r="A788" s="45">
        <v>781</v>
      </c>
      <c r="B788" s="30" t="s">
        <v>1017</v>
      </c>
      <c r="C788" s="49" t="s">
        <v>1019</v>
      </c>
      <c r="D788" s="30" t="s">
        <v>1018</v>
      </c>
      <c r="E788" s="28" t="s">
        <v>1358</v>
      </c>
      <c r="F788" s="28" t="s">
        <v>1359</v>
      </c>
      <c r="G788" s="28" t="s">
        <v>1385</v>
      </c>
    </row>
    <row r="789" spans="1:8" ht="14.25" customHeight="1">
      <c r="A789" s="45">
        <v>782</v>
      </c>
      <c r="B789" s="30" t="s">
        <v>1070</v>
      </c>
      <c r="C789" s="49" t="s">
        <v>1071</v>
      </c>
      <c r="D789" s="57" t="s">
        <v>4245</v>
      </c>
      <c r="E789" s="28" t="s">
        <v>1358</v>
      </c>
      <c r="F789" s="28" t="s">
        <v>1359</v>
      </c>
      <c r="G789" s="28" t="s">
        <v>1385</v>
      </c>
    </row>
    <row r="790" spans="1:8" ht="14.25" customHeight="1">
      <c r="A790" s="45">
        <v>783</v>
      </c>
      <c r="B790" s="30" t="s">
        <v>1061</v>
      </c>
      <c r="C790" s="49" t="s">
        <v>3600</v>
      </c>
      <c r="D790" s="30" t="s">
        <v>1062</v>
      </c>
      <c r="E790" s="28" t="s">
        <v>1358</v>
      </c>
      <c r="F790" s="28" t="s">
        <v>1359</v>
      </c>
      <c r="G790" s="28" t="s">
        <v>1385</v>
      </c>
    </row>
    <row r="791" spans="1:8" ht="14.25" customHeight="1">
      <c r="A791" s="45">
        <v>784</v>
      </c>
      <c r="B791" s="30" t="s">
        <v>1003</v>
      </c>
      <c r="C791" s="49" t="s">
        <v>1005</v>
      </c>
      <c r="D791" s="30" t="s">
        <v>1004</v>
      </c>
      <c r="E791" s="28" t="s">
        <v>1358</v>
      </c>
      <c r="F791" s="28" t="s">
        <v>1359</v>
      </c>
      <c r="G791" s="28" t="s">
        <v>1385</v>
      </c>
    </row>
    <row r="792" spans="1:8" ht="14.25" customHeight="1">
      <c r="A792" s="45">
        <v>785</v>
      </c>
      <c r="B792" s="30" t="s">
        <v>994</v>
      </c>
      <c r="C792" s="49" t="s">
        <v>996</v>
      </c>
      <c r="D792" s="30" t="s">
        <v>995</v>
      </c>
      <c r="E792" s="28" t="s">
        <v>1358</v>
      </c>
      <c r="F792" s="28" t="s">
        <v>1359</v>
      </c>
      <c r="G792" s="28" t="s">
        <v>1385</v>
      </c>
    </row>
    <row r="793" spans="1:8" ht="14.25" customHeight="1">
      <c r="A793" s="45">
        <v>786</v>
      </c>
      <c r="B793" s="30" t="s">
        <v>1063</v>
      </c>
      <c r="C793" s="49" t="s">
        <v>1065</v>
      </c>
      <c r="D793" s="30" t="s">
        <v>1064</v>
      </c>
      <c r="E793" s="28" t="s">
        <v>1358</v>
      </c>
      <c r="F793" s="28" t="s">
        <v>1359</v>
      </c>
      <c r="G793" s="28" t="s">
        <v>1385</v>
      </c>
    </row>
    <row r="794" spans="1:8" ht="14.25" customHeight="1">
      <c r="A794" s="45">
        <v>787</v>
      </c>
      <c r="B794" s="30" t="s">
        <v>990</v>
      </c>
      <c r="C794" s="49" t="s">
        <v>1402</v>
      </c>
      <c r="D794" s="30" t="s">
        <v>991</v>
      </c>
      <c r="E794" s="28" t="s">
        <v>1358</v>
      </c>
      <c r="F794" s="28" t="s">
        <v>1359</v>
      </c>
      <c r="G794" s="28" t="s">
        <v>1385</v>
      </c>
    </row>
    <row r="795" spans="1:8" ht="14.25" customHeight="1">
      <c r="A795" s="45">
        <v>788</v>
      </c>
      <c r="B795" s="30" t="s">
        <v>988</v>
      </c>
      <c r="C795" s="49" t="s">
        <v>1401</v>
      </c>
      <c r="D795" s="30" t="s">
        <v>989</v>
      </c>
      <c r="E795" s="28" t="s">
        <v>1358</v>
      </c>
      <c r="F795" s="28" t="s">
        <v>1359</v>
      </c>
      <c r="G795" s="28" t="s">
        <v>1385</v>
      </c>
      <c r="H795" s="19"/>
    </row>
    <row r="796" spans="1:8" ht="14.25" customHeight="1">
      <c r="A796" s="45">
        <v>789</v>
      </c>
      <c r="B796" s="57" t="s">
        <v>4247</v>
      </c>
      <c r="C796" s="49" t="s">
        <v>1410</v>
      </c>
      <c r="D796" s="57" t="s">
        <v>4246</v>
      </c>
      <c r="E796" s="28" t="s">
        <v>1358</v>
      </c>
      <c r="F796" s="28" t="s">
        <v>1359</v>
      </c>
      <c r="G796" s="28" t="s">
        <v>1385</v>
      </c>
    </row>
    <row r="797" spans="1:8" ht="14.25" customHeight="1">
      <c r="A797" s="45">
        <v>790</v>
      </c>
      <c r="B797" s="30" t="s">
        <v>1042</v>
      </c>
      <c r="C797" s="49" t="s">
        <v>1044</v>
      </c>
      <c r="D797" s="30" t="s">
        <v>1043</v>
      </c>
      <c r="E797" s="28" t="s">
        <v>1358</v>
      </c>
      <c r="F797" s="28" t="s">
        <v>1359</v>
      </c>
      <c r="G797" s="28" t="s">
        <v>1385</v>
      </c>
    </row>
    <row r="798" spans="1:8" ht="14.25" customHeight="1">
      <c r="A798" s="45">
        <v>791</v>
      </c>
      <c r="B798" s="30" t="s">
        <v>1014</v>
      </c>
      <c r="C798" s="49" t="s">
        <v>1016</v>
      </c>
      <c r="D798" s="30" t="s">
        <v>1015</v>
      </c>
      <c r="E798" s="28" t="s">
        <v>1358</v>
      </c>
      <c r="F798" s="28" t="s">
        <v>1359</v>
      </c>
      <c r="G798" s="28" t="s">
        <v>1385</v>
      </c>
    </row>
    <row r="799" spans="1:8" ht="14.25" customHeight="1">
      <c r="A799" s="45">
        <v>792</v>
      </c>
      <c r="B799" s="30" t="s">
        <v>1000</v>
      </c>
      <c r="C799" s="49" t="s">
        <v>1002</v>
      </c>
      <c r="D799" s="30" t="s">
        <v>1001</v>
      </c>
      <c r="E799" s="28" t="s">
        <v>1358</v>
      </c>
      <c r="F799" s="28" t="s">
        <v>1359</v>
      </c>
      <c r="G799" s="28" t="s">
        <v>1385</v>
      </c>
    </row>
    <row r="800" spans="1:8" ht="14.25" customHeight="1">
      <c r="A800" s="45">
        <v>793</v>
      </c>
      <c r="B800" s="30" t="s">
        <v>973</v>
      </c>
      <c r="C800" s="49" t="s">
        <v>975</v>
      </c>
      <c r="D800" s="30" t="s">
        <v>974</v>
      </c>
      <c r="E800" s="28" t="s">
        <v>1358</v>
      </c>
      <c r="F800" s="28" t="s">
        <v>1359</v>
      </c>
      <c r="G800" s="28" t="s">
        <v>1385</v>
      </c>
    </row>
    <row r="801" spans="1:7" ht="14.25" customHeight="1">
      <c r="A801" s="45">
        <v>794</v>
      </c>
      <c r="B801" s="30" t="s">
        <v>982</v>
      </c>
      <c r="C801" s="49" t="s">
        <v>984</v>
      </c>
      <c r="D801" s="30" t="s">
        <v>983</v>
      </c>
      <c r="E801" s="28" t="s">
        <v>1358</v>
      </c>
      <c r="F801" s="28" t="s">
        <v>1359</v>
      </c>
      <c r="G801" s="28" t="s">
        <v>1385</v>
      </c>
    </row>
    <row r="802" spans="1:7" ht="14.25" customHeight="1">
      <c r="A802" s="45">
        <v>795</v>
      </c>
      <c r="B802" s="30" t="s">
        <v>1045</v>
      </c>
      <c r="C802" s="49" t="s">
        <v>1047</v>
      </c>
      <c r="D802" s="30" t="s">
        <v>1046</v>
      </c>
      <c r="E802" s="28" t="s">
        <v>1358</v>
      </c>
      <c r="F802" s="28" t="s">
        <v>1359</v>
      </c>
      <c r="G802" s="28" t="s">
        <v>1385</v>
      </c>
    </row>
    <row r="803" spans="1:7" ht="14.25" customHeight="1">
      <c r="A803" s="45">
        <v>796</v>
      </c>
      <c r="B803" s="30" t="s">
        <v>986</v>
      </c>
      <c r="C803" s="49" t="s">
        <v>1400</v>
      </c>
      <c r="D803" s="30" t="s">
        <v>987</v>
      </c>
      <c r="E803" s="28" t="s">
        <v>1358</v>
      </c>
      <c r="F803" s="28" t="s">
        <v>1359</v>
      </c>
      <c r="G803" s="28" t="s">
        <v>1385</v>
      </c>
    </row>
    <row r="804" spans="1:7" ht="14.25" customHeight="1">
      <c r="A804" s="45">
        <v>797</v>
      </c>
      <c r="B804" s="30" t="s">
        <v>985</v>
      </c>
      <c r="C804" s="49" t="s">
        <v>1399</v>
      </c>
      <c r="D804" s="57" t="s">
        <v>4255</v>
      </c>
      <c r="E804" s="28" t="s">
        <v>1358</v>
      </c>
      <c r="F804" s="28" t="s">
        <v>1359</v>
      </c>
      <c r="G804" s="28" t="s">
        <v>1385</v>
      </c>
    </row>
    <row r="805" spans="1:7" ht="14.25" customHeight="1">
      <c r="A805" s="45">
        <v>798</v>
      </c>
      <c r="B805" s="30" t="s">
        <v>1027</v>
      </c>
      <c r="C805" s="49" t="s">
        <v>1029</v>
      </c>
      <c r="D805" s="30" t="s">
        <v>1028</v>
      </c>
      <c r="E805" s="28" t="s">
        <v>1358</v>
      </c>
      <c r="F805" s="28" t="s">
        <v>1359</v>
      </c>
      <c r="G805" s="28" t="s">
        <v>1385</v>
      </c>
    </row>
    <row r="806" spans="1:7" ht="14.25" customHeight="1">
      <c r="A806" s="45">
        <v>799</v>
      </c>
      <c r="B806" s="30" t="s">
        <v>1039</v>
      </c>
      <c r="C806" s="49" t="s">
        <v>1041</v>
      </c>
      <c r="D806" s="30" t="s">
        <v>1040</v>
      </c>
      <c r="E806" s="28" t="s">
        <v>1358</v>
      </c>
      <c r="F806" s="28" t="s">
        <v>1359</v>
      </c>
      <c r="G806" s="28" t="s">
        <v>1385</v>
      </c>
    </row>
    <row r="807" spans="1:7" ht="14.25" customHeight="1">
      <c r="A807" s="45">
        <v>800</v>
      </c>
      <c r="B807" s="30" t="s">
        <v>1066</v>
      </c>
      <c r="C807" s="49" t="s">
        <v>1408</v>
      </c>
      <c r="D807" s="30" t="s">
        <v>1067</v>
      </c>
      <c r="E807" s="28" t="s">
        <v>1358</v>
      </c>
      <c r="F807" s="28" t="s">
        <v>1359</v>
      </c>
      <c r="G807" s="28" t="s">
        <v>1385</v>
      </c>
    </row>
    <row r="808" spans="1:7" ht="14.25" customHeight="1">
      <c r="A808" s="45">
        <v>801</v>
      </c>
      <c r="B808" s="30" t="s">
        <v>979</v>
      </c>
      <c r="C808" s="49" t="s">
        <v>981</v>
      </c>
      <c r="D808" s="30" t="s">
        <v>980</v>
      </c>
      <c r="E808" s="28" t="s">
        <v>1358</v>
      </c>
      <c r="F808" s="28" t="s">
        <v>1359</v>
      </c>
      <c r="G808" s="28" t="s">
        <v>1385</v>
      </c>
    </row>
    <row r="809" spans="1:7" ht="14.25" customHeight="1">
      <c r="A809" s="45">
        <v>802</v>
      </c>
      <c r="B809" s="30" t="s">
        <v>976</v>
      </c>
      <c r="C809" s="49" t="s">
        <v>978</v>
      </c>
      <c r="D809" s="30" t="s">
        <v>977</v>
      </c>
      <c r="E809" s="28" t="s">
        <v>1358</v>
      </c>
      <c r="F809" s="28" t="s">
        <v>1359</v>
      </c>
      <c r="G809" s="28" t="s">
        <v>1385</v>
      </c>
    </row>
    <row r="810" spans="1:7" ht="14.25" customHeight="1">
      <c r="A810" s="45">
        <v>803</v>
      </c>
      <c r="B810" s="30" t="s">
        <v>1008</v>
      </c>
      <c r="C810" s="49" t="s">
        <v>1010</v>
      </c>
      <c r="D810" s="30" t="s">
        <v>1009</v>
      </c>
      <c r="E810" s="28" t="s">
        <v>1358</v>
      </c>
      <c r="F810" s="28" t="s">
        <v>1359</v>
      </c>
      <c r="G810" s="28" t="s">
        <v>1385</v>
      </c>
    </row>
    <row r="811" spans="1:7" ht="14.25" customHeight="1">
      <c r="A811" s="45">
        <v>804</v>
      </c>
      <c r="B811" s="30" t="s">
        <v>1058</v>
      </c>
      <c r="C811" s="49" t="s">
        <v>1060</v>
      </c>
      <c r="D811" s="30" t="s">
        <v>1059</v>
      </c>
      <c r="E811" s="28" t="s">
        <v>1358</v>
      </c>
      <c r="F811" s="28" t="s">
        <v>1359</v>
      </c>
      <c r="G811" s="28" t="s">
        <v>1385</v>
      </c>
    </row>
    <row r="812" spans="1:7" ht="14.25" customHeight="1">
      <c r="A812" s="45">
        <v>805</v>
      </c>
      <c r="B812" s="30" t="s">
        <v>1020</v>
      </c>
      <c r="C812" s="49" t="s">
        <v>1022</v>
      </c>
      <c r="D812" s="30" t="s">
        <v>1021</v>
      </c>
      <c r="E812" s="28" t="s">
        <v>1358</v>
      </c>
      <c r="F812" s="28" t="s">
        <v>1359</v>
      </c>
      <c r="G812" s="28" t="s">
        <v>1385</v>
      </c>
    </row>
    <row r="813" spans="1:7" ht="14.25" customHeight="1">
      <c r="A813" s="45">
        <v>806</v>
      </c>
      <c r="B813" s="30" t="s">
        <v>1055</v>
      </c>
      <c r="C813" s="49" t="s">
        <v>1057</v>
      </c>
      <c r="D813" s="30" t="s">
        <v>1056</v>
      </c>
      <c r="E813" s="28" t="s">
        <v>1358</v>
      </c>
      <c r="F813" s="28" t="s">
        <v>1359</v>
      </c>
      <c r="G813" s="28" t="s">
        <v>1385</v>
      </c>
    </row>
    <row r="814" spans="1:7" ht="14.25" customHeight="1">
      <c r="A814" s="45">
        <v>807</v>
      </c>
      <c r="B814" s="30" t="s">
        <v>1053</v>
      </c>
      <c r="C814" s="49" t="s">
        <v>1407</v>
      </c>
      <c r="D814" s="30" t="s">
        <v>1054</v>
      </c>
      <c r="E814" s="28" t="s">
        <v>1358</v>
      </c>
      <c r="F814" s="28" t="s">
        <v>1359</v>
      </c>
      <c r="G814" s="28" t="s">
        <v>1385</v>
      </c>
    </row>
    <row r="815" spans="1:7" ht="14.25" customHeight="1">
      <c r="A815" s="45">
        <v>808</v>
      </c>
      <c r="B815" s="30" t="s">
        <v>1068</v>
      </c>
      <c r="C815" s="49" t="s">
        <v>1409</v>
      </c>
      <c r="D815" s="30" t="s">
        <v>1069</v>
      </c>
      <c r="E815" s="28" t="s">
        <v>1358</v>
      </c>
      <c r="F815" s="28" t="s">
        <v>1359</v>
      </c>
      <c r="G815" s="28" t="s">
        <v>1385</v>
      </c>
    </row>
    <row r="816" spans="1:7" ht="14.25" customHeight="1">
      <c r="A816" s="45">
        <v>809</v>
      </c>
      <c r="B816" s="30" t="s">
        <v>1011</v>
      </c>
      <c r="C816" s="49" t="s">
        <v>1013</v>
      </c>
      <c r="D816" s="30" t="s">
        <v>1012</v>
      </c>
      <c r="E816" s="28" t="s">
        <v>1358</v>
      </c>
      <c r="F816" s="28" t="s">
        <v>1359</v>
      </c>
      <c r="G816" s="28" t="s">
        <v>1385</v>
      </c>
    </row>
    <row r="817" spans="1:7" ht="14.25" customHeight="1">
      <c r="A817" s="45">
        <v>810</v>
      </c>
      <c r="B817" s="37" t="s">
        <v>356</v>
      </c>
      <c r="C817" s="192" t="s">
        <v>2630</v>
      </c>
      <c r="D817" s="269" t="s">
        <v>3327</v>
      </c>
      <c r="E817" s="28" t="s">
        <v>1358</v>
      </c>
      <c r="F817" s="28" t="s">
        <v>1367</v>
      </c>
      <c r="G817" s="28" t="s">
        <v>736</v>
      </c>
    </row>
    <row r="818" spans="1:7" ht="14.25" customHeight="1">
      <c r="A818" s="45">
        <v>811</v>
      </c>
      <c r="B818" s="37" t="s">
        <v>4</v>
      </c>
      <c r="C818" s="192" t="s">
        <v>2631</v>
      </c>
      <c r="D818" s="269" t="s">
        <v>3326</v>
      </c>
      <c r="E818" s="28" t="s">
        <v>1358</v>
      </c>
      <c r="F818" s="28" t="s">
        <v>1367</v>
      </c>
      <c r="G818" s="28" t="s">
        <v>1368</v>
      </c>
    </row>
    <row r="819" spans="1:7" ht="14.25" customHeight="1">
      <c r="A819" s="45">
        <v>812</v>
      </c>
      <c r="B819" s="191" t="s">
        <v>2754</v>
      </c>
      <c r="C819" s="36" t="s">
        <v>1072</v>
      </c>
      <c r="D819" s="269" t="s">
        <v>3319</v>
      </c>
      <c r="E819" s="28" t="s">
        <v>1358</v>
      </c>
      <c r="F819" s="28" t="s">
        <v>1367</v>
      </c>
      <c r="G819" s="28" t="s">
        <v>1374</v>
      </c>
    </row>
    <row r="820" spans="1:7" ht="14.25" customHeight="1">
      <c r="A820" s="45">
        <v>813</v>
      </c>
      <c r="B820" s="34" t="s">
        <v>1126</v>
      </c>
      <c r="C820" s="36" t="s">
        <v>1127</v>
      </c>
      <c r="D820" s="269" t="s">
        <v>3313</v>
      </c>
      <c r="E820" s="28" t="s">
        <v>1358</v>
      </c>
      <c r="F820" s="28" t="s">
        <v>1367</v>
      </c>
      <c r="G820" s="28" t="s">
        <v>736</v>
      </c>
    </row>
    <row r="821" spans="1:7" ht="14.25" customHeight="1">
      <c r="A821" s="45">
        <v>814</v>
      </c>
      <c r="B821" s="34" t="s">
        <v>1204</v>
      </c>
      <c r="C821" s="36" t="s">
        <v>1205</v>
      </c>
      <c r="D821" s="269" t="s">
        <v>3321</v>
      </c>
      <c r="E821" s="28" t="s">
        <v>1358</v>
      </c>
      <c r="F821" s="28" t="s">
        <v>1367</v>
      </c>
      <c r="G821" s="28" t="s">
        <v>736</v>
      </c>
    </row>
    <row r="822" spans="1:7" ht="14.25" customHeight="1">
      <c r="A822" s="45">
        <v>815</v>
      </c>
      <c r="B822" s="34" t="s">
        <v>1128</v>
      </c>
      <c r="C822" s="36" t="s">
        <v>1129</v>
      </c>
      <c r="D822" s="269" t="s">
        <v>3314</v>
      </c>
      <c r="E822" s="28" t="s">
        <v>1358</v>
      </c>
      <c r="F822" s="28" t="s">
        <v>1367</v>
      </c>
      <c r="G822" s="28" t="s">
        <v>736</v>
      </c>
    </row>
    <row r="823" spans="1:7" ht="14.25" customHeight="1">
      <c r="A823" s="45">
        <v>816</v>
      </c>
      <c r="B823" s="37" t="s">
        <v>43</v>
      </c>
      <c r="C823" s="192" t="s">
        <v>2640</v>
      </c>
      <c r="D823" s="269" t="s">
        <v>3335</v>
      </c>
      <c r="E823" s="28" t="s">
        <v>1358</v>
      </c>
      <c r="F823" s="28" t="s">
        <v>1367</v>
      </c>
      <c r="G823" s="28" t="s">
        <v>736</v>
      </c>
    </row>
    <row r="824" spans="1:7" ht="14.25" customHeight="1">
      <c r="A824" s="45">
        <v>817</v>
      </c>
      <c r="B824" s="34" t="s">
        <v>7</v>
      </c>
      <c r="C824" s="36" t="s">
        <v>1079</v>
      </c>
      <c r="D824" s="269" t="s">
        <v>3308</v>
      </c>
      <c r="E824" s="28" t="s">
        <v>1358</v>
      </c>
      <c r="F824" s="28" t="s">
        <v>1367</v>
      </c>
      <c r="G824" s="28" t="s">
        <v>736</v>
      </c>
    </row>
    <row r="825" spans="1:7" ht="14.25" customHeight="1">
      <c r="A825" s="45">
        <v>818</v>
      </c>
      <c r="B825" s="34" t="s">
        <v>1130</v>
      </c>
      <c r="C825" s="36" t="s">
        <v>1131</v>
      </c>
      <c r="D825" s="269" t="s">
        <v>3315</v>
      </c>
      <c r="E825" s="28" t="s">
        <v>1358</v>
      </c>
      <c r="F825" s="28" t="s">
        <v>1367</v>
      </c>
      <c r="G825" s="28" t="s">
        <v>736</v>
      </c>
    </row>
    <row r="826" spans="1:7" ht="14.25" customHeight="1">
      <c r="A826" s="45">
        <v>819</v>
      </c>
      <c r="B826" s="34" t="s">
        <v>1206</v>
      </c>
      <c r="C826" s="36" t="s">
        <v>1207</v>
      </c>
      <c r="D826" s="269" t="s">
        <v>3323</v>
      </c>
      <c r="E826" s="28" t="s">
        <v>1358</v>
      </c>
      <c r="F826" s="28" t="s">
        <v>1367</v>
      </c>
      <c r="G826" s="28" t="s">
        <v>736</v>
      </c>
    </row>
    <row r="827" spans="1:7" ht="14.25" customHeight="1">
      <c r="A827" s="45">
        <v>820</v>
      </c>
      <c r="B827" s="37" t="s">
        <v>42</v>
      </c>
      <c r="C827" s="192" t="s">
        <v>2638</v>
      </c>
      <c r="D827" s="269" t="s">
        <v>3333</v>
      </c>
      <c r="E827" s="28" t="s">
        <v>1358</v>
      </c>
      <c r="F827" s="28" t="s">
        <v>1367</v>
      </c>
      <c r="G827" s="28" t="s">
        <v>736</v>
      </c>
    </row>
    <row r="828" spans="1:7" ht="14.25" customHeight="1">
      <c r="A828" s="45">
        <v>821</v>
      </c>
      <c r="B828" s="34" t="s">
        <v>1132</v>
      </c>
      <c r="C828" s="36" t="s">
        <v>1133</v>
      </c>
      <c r="D828" s="269" t="s">
        <v>3316</v>
      </c>
      <c r="E828" s="28" t="s">
        <v>1358</v>
      </c>
      <c r="F828" s="28" t="s">
        <v>1367</v>
      </c>
      <c r="G828" s="28" t="s">
        <v>736</v>
      </c>
    </row>
    <row r="829" spans="1:7" ht="14.25" customHeight="1">
      <c r="A829" s="45">
        <v>822</v>
      </c>
      <c r="B829" s="34" t="s">
        <v>1134</v>
      </c>
      <c r="C829" s="36" t="s">
        <v>1135</v>
      </c>
      <c r="D829" s="269" t="s">
        <v>3317</v>
      </c>
      <c r="E829" s="28" t="s">
        <v>1358</v>
      </c>
      <c r="F829" s="28" t="s">
        <v>1367</v>
      </c>
      <c r="G829" s="28" t="s">
        <v>736</v>
      </c>
    </row>
    <row r="830" spans="1:7" ht="14.25" customHeight="1">
      <c r="A830" s="45">
        <v>823</v>
      </c>
      <c r="B830" s="34" t="s">
        <v>1136</v>
      </c>
      <c r="C830" s="36" t="s">
        <v>1137</v>
      </c>
      <c r="D830" s="269" t="s">
        <v>3318</v>
      </c>
      <c r="E830" s="28" t="s">
        <v>1358</v>
      </c>
      <c r="F830" s="28" t="s">
        <v>1367</v>
      </c>
      <c r="G830" s="28" t="s">
        <v>736</v>
      </c>
    </row>
    <row r="831" spans="1:7" ht="14.25" customHeight="1">
      <c r="A831" s="45">
        <v>824</v>
      </c>
      <c r="B831" s="37" t="s">
        <v>41</v>
      </c>
      <c r="C831" s="192" t="s">
        <v>2637</v>
      </c>
      <c r="D831" s="269" t="s">
        <v>3332</v>
      </c>
      <c r="E831" s="28" t="s">
        <v>1358</v>
      </c>
      <c r="F831" s="28" t="s">
        <v>1367</v>
      </c>
      <c r="G831" s="28" t="s">
        <v>736</v>
      </c>
    </row>
    <row r="832" spans="1:7" ht="14.25" customHeight="1">
      <c r="A832" s="45">
        <v>825</v>
      </c>
      <c r="B832" s="34" t="s">
        <v>1080</v>
      </c>
      <c r="C832" s="36" t="s">
        <v>1081</v>
      </c>
      <c r="D832" s="269" t="s">
        <v>3309</v>
      </c>
      <c r="E832" s="28" t="s">
        <v>1358</v>
      </c>
      <c r="F832" s="28" t="s">
        <v>1367</v>
      </c>
      <c r="G832" s="28" t="s">
        <v>736</v>
      </c>
    </row>
    <row r="833" spans="1:7" ht="14.25" customHeight="1">
      <c r="A833" s="45">
        <v>826</v>
      </c>
      <c r="B833" s="34" t="s">
        <v>40</v>
      </c>
      <c r="C833" s="36" t="s">
        <v>1078</v>
      </c>
      <c r="D833" s="269" t="s">
        <v>3307</v>
      </c>
      <c r="E833" s="28" t="s">
        <v>1358</v>
      </c>
      <c r="F833" s="28" t="s">
        <v>1367</v>
      </c>
      <c r="G833" s="28" t="s">
        <v>736</v>
      </c>
    </row>
    <row r="834" spans="1:7" ht="14.25" customHeight="1">
      <c r="A834" s="45">
        <v>827</v>
      </c>
      <c r="B834" s="193" t="s">
        <v>2757</v>
      </c>
      <c r="C834" s="192" t="s">
        <v>2636</v>
      </c>
      <c r="D834" s="269" t="s">
        <v>3331</v>
      </c>
      <c r="E834" s="28" t="s">
        <v>1358</v>
      </c>
      <c r="F834" s="28" t="s">
        <v>1367</v>
      </c>
      <c r="G834" s="28" t="s">
        <v>736</v>
      </c>
    </row>
    <row r="835" spans="1:7" ht="14.25" customHeight="1">
      <c r="A835" s="45">
        <v>828</v>
      </c>
      <c r="B835" s="192" t="s">
        <v>2764</v>
      </c>
      <c r="C835" s="36" t="s">
        <v>1077</v>
      </c>
      <c r="D835" s="269" t="s">
        <v>3306</v>
      </c>
      <c r="E835" s="28" t="s">
        <v>1358</v>
      </c>
      <c r="F835" s="28" t="s">
        <v>1367</v>
      </c>
      <c r="G835" s="28" t="s">
        <v>736</v>
      </c>
    </row>
    <row r="836" spans="1:7" ht="14.25" customHeight="1">
      <c r="A836" s="45">
        <v>829</v>
      </c>
      <c r="B836" s="193" t="s">
        <v>2756</v>
      </c>
      <c r="C836" s="192" t="s">
        <v>2635</v>
      </c>
      <c r="D836" s="269" t="s">
        <v>3330</v>
      </c>
      <c r="E836" s="28" t="s">
        <v>1358</v>
      </c>
      <c r="F836" s="28" t="s">
        <v>1367</v>
      </c>
      <c r="G836" s="28" t="s">
        <v>736</v>
      </c>
    </row>
    <row r="837" spans="1:7" ht="14.25" customHeight="1">
      <c r="A837" s="45">
        <v>830</v>
      </c>
      <c r="B837" s="34" t="s">
        <v>38</v>
      </c>
      <c r="C837" s="36" t="s">
        <v>1125</v>
      </c>
      <c r="D837" s="269" t="s">
        <v>3312</v>
      </c>
      <c r="E837" s="28" t="s">
        <v>1358</v>
      </c>
      <c r="F837" s="28" t="s">
        <v>1367</v>
      </c>
      <c r="G837" s="28" t="s">
        <v>1368</v>
      </c>
    </row>
    <row r="838" spans="1:7" ht="14.25" customHeight="1">
      <c r="A838" s="45">
        <v>831</v>
      </c>
      <c r="B838" s="192" t="s">
        <v>2755</v>
      </c>
      <c r="C838" s="36" t="s">
        <v>1073</v>
      </c>
      <c r="D838" s="269" t="s">
        <v>3324</v>
      </c>
      <c r="E838" s="28" t="s">
        <v>1358</v>
      </c>
      <c r="F838" s="28" t="s">
        <v>1367</v>
      </c>
      <c r="G838" s="28" t="s">
        <v>1368</v>
      </c>
    </row>
    <row r="839" spans="1:7" ht="14.25" customHeight="1">
      <c r="A839" s="45">
        <v>832</v>
      </c>
      <c r="B839" s="34" t="s">
        <v>1082</v>
      </c>
      <c r="C839" s="36" t="s">
        <v>1083</v>
      </c>
      <c r="D839" s="269" t="s">
        <v>3310</v>
      </c>
      <c r="E839" s="28" t="s">
        <v>1358</v>
      </c>
      <c r="F839" s="28" t="s">
        <v>1367</v>
      </c>
      <c r="G839" s="28" t="s">
        <v>736</v>
      </c>
    </row>
    <row r="840" spans="1:7" ht="14.25" customHeight="1">
      <c r="A840" s="45">
        <v>833</v>
      </c>
      <c r="B840" s="193" t="s">
        <v>2632</v>
      </c>
      <c r="C840" s="192" t="s">
        <v>2633</v>
      </c>
      <c r="D840" s="269" t="s">
        <v>3328</v>
      </c>
      <c r="E840" s="28" t="s">
        <v>1358</v>
      </c>
      <c r="F840" s="28" t="s">
        <v>1367</v>
      </c>
      <c r="G840" s="28" t="s">
        <v>736</v>
      </c>
    </row>
    <row r="841" spans="1:7" ht="14.25" customHeight="1">
      <c r="A841" s="45">
        <v>834</v>
      </c>
      <c r="B841" s="35" t="s">
        <v>37</v>
      </c>
      <c r="C841" s="55" t="s">
        <v>6160</v>
      </c>
      <c r="D841" s="270" t="s">
        <v>3311</v>
      </c>
      <c r="E841" s="28" t="s">
        <v>1358</v>
      </c>
      <c r="F841" s="28" t="s">
        <v>1367</v>
      </c>
      <c r="G841" s="28" t="s">
        <v>1368</v>
      </c>
    </row>
    <row r="842" spans="1:7" ht="14.25" customHeight="1">
      <c r="A842" s="45">
        <v>835</v>
      </c>
      <c r="B842" s="37" t="s">
        <v>8</v>
      </c>
      <c r="C842" s="192" t="s">
        <v>2639</v>
      </c>
      <c r="D842" s="269" t="s">
        <v>3334</v>
      </c>
      <c r="E842" s="28" t="s">
        <v>1358</v>
      </c>
      <c r="F842" s="28" t="s">
        <v>1367</v>
      </c>
      <c r="G842" s="28" t="s">
        <v>736</v>
      </c>
    </row>
    <row r="843" spans="1:7" ht="14.25" customHeight="1">
      <c r="A843" s="45">
        <v>836</v>
      </c>
      <c r="B843" s="34" t="s">
        <v>1203</v>
      </c>
      <c r="C843" s="36" t="s">
        <v>1203</v>
      </c>
      <c r="D843" s="269" t="s">
        <v>3320</v>
      </c>
      <c r="E843" s="28" t="s">
        <v>1358</v>
      </c>
      <c r="F843" s="28" t="s">
        <v>1367</v>
      </c>
      <c r="G843" s="28" t="s">
        <v>1368</v>
      </c>
    </row>
    <row r="844" spans="1:7" ht="14.25" customHeight="1">
      <c r="A844" s="45">
        <v>837</v>
      </c>
      <c r="B844" s="34" t="s">
        <v>1075</v>
      </c>
      <c r="C844" s="36" t="s">
        <v>1076</v>
      </c>
      <c r="D844" s="269" t="s">
        <v>3305</v>
      </c>
      <c r="E844" s="28" t="s">
        <v>1358</v>
      </c>
      <c r="F844" s="28" t="s">
        <v>1367</v>
      </c>
      <c r="G844" s="28" t="s">
        <v>736</v>
      </c>
    </row>
    <row r="845" spans="1:7" ht="14.25" customHeight="1">
      <c r="A845" s="45">
        <v>838</v>
      </c>
      <c r="B845" s="34" t="s">
        <v>6</v>
      </c>
      <c r="C845" s="36" t="s">
        <v>6</v>
      </c>
      <c r="D845" s="269" t="s">
        <v>3322</v>
      </c>
      <c r="E845" s="28" t="s">
        <v>1358</v>
      </c>
      <c r="F845" s="28" t="s">
        <v>1367</v>
      </c>
      <c r="G845" s="28" t="s">
        <v>736</v>
      </c>
    </row>
    <row r="846" spans="1:7" ht="14.25" customHeight="1">
      <c r="A846" s="45">
        <v>839</v>
      </c>
      <c r="B846" s="191" t="s">
        <v>2785</v>
      </c>
      <c r="C846" s="55" t="s">
        <v>2753</v>
      </c>
      <c r="D846" s="269" t="s">
        <v>3303</v>
      </c>
      <c r="E846" s="28" t="s">
        <v>1358</v>
      </c>
      <c r="F846" s="28" t="s">
        <v>1367</v>
      </c>
      <c r="G846" s="28" t="s">
        <v>1368</v>
      </c>
    </row>
    <row r="847" spans="1:7" ht="14.25" customHeight="1">
      <c r="A847" s="45">
        <v>840</v>
      </c>
      <c r="B847" s="191" t="s">
        <v>2786</v>
      </c>
      <c r="C847" s="36" t="s">
        <v>1074</v>
      </c>
      <c r="D847" s="269" t="s">
        <v>3304</v>
      </c>
      <c r="E847" s="28" t="s">
        <v>1358</v>
      </c>
      <c r="F847" s="28" t="s">
        <v>1367</v>
      </c>
      <c r="G847" s="28" t="s">
        <v>736</v>
      </c>
    </row>
    <row r="848" spans="1:7" ht="14.25" customHeight="1">
      <c r="A848" s="45">
        <v>841</v>
      </c>
      <c r="B848" s="37" t="s">
        <v>322</v>
      </c>
      <c r="C848" s="192" t="s">
        <v>2634</v>
      </c>
      <c r="D848" s="269" t="s">
        <v>3329</v>
      </c>
      <c r="E848" s="28" t="s">
        <v>1358</v>
      </c>
      <c r="F848" s="28" t="s">
        <v>1367</v>
      </c>
      <c r="G848" s="28" t="s">
        <v>736</v>
      </c>
    </row>
    <row r="849" spans="1:7" ht="14.25" customHeight="1">
      <c r="A849" s="45">
        <v>842</v>
      </c>
      <c r="B849" s="55" t="s">
        <v>2628</v>
      </c>
      <c r="C849" s="191" t="s">
        <v>2629</v>
      </c>
      <c r="D849" s="269" t="s">
        <v>3325</v>
      </c>
      <c r="E849" s="28" t="s">
        <v>1358</v>
      </c>
      <c r="F849" s="28" t="s">
        <v>1367</v>
      </c>
      <c r="G849" s="28" t="s">
        <v>1368</v>
      </c>
    </row>
    <row r="850" spans="1:7" ht="14.25" customHeight="1">
      <c r="A850" s="45">
        <v>843</v>
      </c>
      <c r="B850" s="205" t="s">
        <v>2780</v>
      </c>
      <c r="C850" s="50" t="s">
        <v>1140</v>
      </c>
      <c r="D850" s="271" t="s">
        <v>3353</v>
      </c>
      <c r="E850" s="28" t="s">
        <v>1358</v>
      </c>
      <c r="F850" s="28" t="s">
        <v>1367</v>
      </c>
      <c r="G850" s="28" t="s">
        <v>1370</v>
      </c>
    </row>
    <row r="851" spans="1:7" ht="14.25" customHeight="1">
      <c r="A851" s="45">
        <v>844</v>
      </c>
      <c r="B851" s="38" t="s">
        <v>11</v>
      </c>
      <c r="C851" s="50" t="s">
        <v>1085</v>
      </c>
      <c r="D851" s="271" t="s">
        <v>3338</v>
      </c>
      <c r="E851" s="28" t="s">
        <v>1358</v>
      </c>
      <c r="F851" s="28" t="s">
        <v>1367</v>
      </c>
      <c r="G851" s="28" t="s">
        <v>1369</v>
      </c>
    </row>
    <row r="852" spans="1:7" ht="14.25" customHeight="1">
      <c r="A852" s="45">
        <v>845</v>
      </c>
      <c r="B852" s="38" t="s">
        <v>44</v>
      </c>
      <c r="C852" s="50" t="s">
        <v>1138</v>
      </c>
      <c r="D852" s="271" t="s">
        <v>3351</v>
      </c>
      <c r="E852" s="28" t="s">
        <v>1358</v>
      </c>
      <c r="F852" s="28" t="s">
        <v>1367</v>
      </c>
      <c r="G852" s="28" t="s">
        <v>1369</v>
      </c>
    </row>
    <row r="853" spans="1:7" ht="14.25" customHeight="1">
      <c r="A853" s="45">
        <v>846</v>
      </c>
      <c r="B853" s="38" t="s">
        <v>2765</v>
      </c>
      <c r="C853" s="50" t="s">
        <v>1139</v>
      </c>
      <c r="D853" s="271" t="s">
        <v>3352</v>
      </c>
      <c r="E853" s="28" t="s">
        <v>1358</v>
      </c>
      <c r="F853" s="28" t="s">
        <v>1367</v>
      </c>
      <c r="G853" s="28" t="s">
        <v>1369</v>
      </c>
    </row>
    <row r="854" spans="1:7" ht="14.25" customHeight="1">
      <c r="A854" s="45">
        <v>847</v>
      </c>
      <c r="B854" s="206" t="s">
        <v>2781</v>
      </c>
      <c r="C854" s="207" t="s">
        <v>2782</v>
      </c>
      <c r="D854" s="272" t="s">
        <v>3354</v>
      </c>
      <c r="E854" s="28" t="s">
        <v>2783</v>
      </c>
      <c r="F854" s="28" t="s">
        <v>2784</v>
      </c>
      <c r="G854" s="28" t="s">
        <v>1370</v>
      </c>
    </row>
    <row r="855" spans="1:7" ht="14.25" customHeight="1">
      <c r="A855" s="45">
        <v>848</v>
      </c>
      <c r="B855" s="205" t="s">
        <v>2787</v>
      </c>
      <c r="C855" s="50" t="s">
        <v>1086</v>
      </c>
      <c r="D855" s="271" t="s">
        <v>3339</v>
      </c>
      <c r="E855" s="28" t="s">
        <v>1358</v>
      </c>
      <c r="F855" s="28" t="s">
        <v>1367</v>
      </c>
      <c r="G855" s="28" t="s">
        <v>1370</v>
      </c>
    </row>
    <row r="856" spans="1:7" ht="14.25" customHeight="1">
      <c r="A856" s="45">
        <v>849</v>
      </c>
      <c r="B856" s="38" t="s">
        <v>50</v>
      </c>
      <c r="C856" s="50" t="s">
        <v>1100</v>
      </c>
      <c r="D856" s="271" t="s">
        <v>3348</v>
      </c>
      <c r="E856" s="28" t="s">
        <v>1358</v>
      </c>
      <c r="F856" s="28" t="s">
        <v>1367</v>
      </c>
      <c r="G856" s="28" t="s">
        <v>1370</v>
      </c>
    </row>
    <row r="857" spans="1:7" ht="14.25" customHeight="1">
      <c r="A857" s="45">
        <v>850</v>
      </c>
      <c r="B857" s="38" t="s">
        <v>1212</v>
      </c>
      <c r="C857" s="50" t="s">
        <v>1213</v>
      </c>
      <c r="D857" s="271" t="s">
        <v>3370</v>
      </c>
      <c r="E857" s="28" t="s">
        <v>1358</v>
      </c>
      <c r="F857" s="28" t="s">
        <v>1367</v>
      </c>
      <c r="G857" s="28" t="s">
        <v>1370</v>
      </c>
    </row>
    <row r="858" spans="1:7" ht="14.25" customHeight="1">
      <c r="A858" s="45">
        <v>851</v>
      </c>
      <c r="B858" s="38" t="s">
        <v>1089</v>
      </c>
      <c r="C858" s="50" t="s">
        <v>1090</v>
      </c>
      <c r="D858" s="271" t="s">
        <v>3341</v>
      </c>
      <c r="E858" s="28" t="s">
        <v>1358</v>
      </c>
      <c r="F858" s="28" t="s">
        <v>1367</v>
      </c>
      <c r="G858" s="28" t="s">
        <v>1370</v>
      </c>
    </row>
    <row r="859" spans="1:7" ht="14.25" customHeight="1">
      <c r="A859" s="45">
        <v>852</v>
      </c>
      <c r="B859" s="38" t="s">
        <v>48</v>
      </c>
      <c r="C859" s="50" t="s">
        <v>1225</v>
      </c>
      <c r="D859" s="271" t="s">
        <v>3376</v>
      </c>
      <c r="E859" s="28" t="s">
        <v>1358</v>
      </c>
      <c r="F859" s="28" t="s">
        <v>1367</v>
      </c>
      <c r="G859" s="28" t="s">
        <v>1370</v>
      </c>
    </row>
    <row r="860" spans="1:7" ht="14.25" customHeight="1">
      <c r="A860" s="45">
        <v>853</v>
      </c>
      <c r="B860" s="40" t="s">
        <v>56</v>
      </c>
      <c r="C860" s="194" t="s">
        <v>2651</v>
      </c>
      <c r="D860" s="271" t="s">
        <v>3386</v>
      </c>
      <c r="E860" s="28" t="s">
        <v>1358</v>
      </c>
      <c r="F860" s="28" t="s">
        <v>1367</v>
      </c>
      <c r="G860" s="28" t="s">
        <v>1370</v>
      </c>
    </row>
    <row r="861" spans="1:7" ht="14.25" customHeight="1">
      <c r="A861" s="45">
        <v>854</v>
      </c>
      <c r="B861" s="38" t="s">
        <v>1211</v>
      </c>
      <c r="C861" s="50" t="s">
        <v>1098</v>
      </c>
      <c r="D861" s="271" t="s">
        <v>3369</v>
      </c>
      <c r="E861" s="28" t="s">
        <v>1358</v>
      </c>
      <c r="F861" s="28" t="s">
        <v>1367</v>
      </c>
      <c r="G861" s="28" t="s">
        <v>1369</v>
      </c>
    </row>
    <row r="862" spans="1:7" ht="14.25" customHeight="1">
      <c r="A862" s="45">
        <v>855</v>
      </c>
      <c r="B862" s="40" t="s">
        <v>55</v>
      </c>
      <c r="C862" s="194" t="s">
        <v>2650</v>
      </c>
      <c r="D862" s="271" t="s">
        <v>3385</v>
      </c>
      <c r="E862" s="28" t="s">
        <v>1358</v>
      </c>
      <c r="F862" s="28" t="s">
        <v>1367</v>
      </c>
      <c r="G862" s="28" t="s">
        <v>1370</v>
      </c>
    </row>
    <row r="863" spans="1:7" ht="14.25" customHeight="1">
      <c r="A863" s="45">
        <v>856</v>
      </c>
      <c r="B863" s="40" t="s">
        <v>51</v>
      </c>
      <c r="C863" s="194" t="s">
        <v>2647</v>
      </c>
      <c r="D863" s="271" t="s">
        <v>3382</v>
      </c>
      <c r="E863" s="28" t="s">
        <v>1358</v>
      </c>
      <c r="F863" s="28" t="s">
        <v>1367</v>
      </c>
      <c r="G863" s="28" t="s">
        <v>1370</v>
      </c>
    </row>
    <row r="864" spans="1:7" ht="14.25" customHeight="1">
      <c r="A864" s="45">
        <v>857</v>
      </c>
      <c r="B864" s="38" t="s">
        <v>1154</v>
      </c>
      <c r="C864" s="50" t="s">
        <v>1155</v>
      </c>
      <c r="D864" s="271" t="s">
        <v>3364</v>
      </c>
      <c r="E864" s="28" t="s">
        <v>1358</v>
      </c>
      <c r="F864" s="28" t="s">
        <v>1367</v>
      </c>
      <c r="G864" s="28" t="s">
        <v>1370</v>
      </c>
    </row>
    <row r="865" spans="1:7" ht="14.25" customHeight="1">
      <c r="A865" s="45">
        <v>858</v>
      </c>
      <c r="B865" s="194" t="s">
        <v>2758</v>
      </c>
      <c r="C865" s="50" t="s">
        <v>1097</v>
      </c>
      <c r="D865" s="271" t="s">
        <v>3345</v>
      </c>
      <c r="E865" s="28" t="s">
        <v>1358</v>
      </c>
      <c r="F865" s="28" t="s">
        <v>1367</v>
      </c>
      <c r="G865" s="28" t="s">
        <v>1370</v>
      </c>
    </row>
    <row r="866" spans="1:7" ht="14.25" customHeight="1">
      <c r="A866" s="45">
        <v>859</v>
      </c>
      <c r="B866" s="194" t="s">
        <v>2760</v>
      </c>
      <c r="C866" s="50" t="s">
        <v>1151</v>
      </c>
      <c r="D866" s="271" t="s">
        <v>3361</v>
      </c>
      <c r="E866" s="28" t="s">
        <v>1358</v>
      </c>
      <c r="F866" s="28" t="s">
        <v>1367</v>
      </c>
      <c r="G866" s="28" t="s">
        <v>1370</v>
      </c>
    </row>
    <row r="867" spans="1:7" ht="14.25" customHeight="1">
      <c r="A867" s="45">
        <v>860</v>
      </c>
      <c r="B867" s="194" t="s">
        <v>2761</v>
      </c>
      <c r="C867" s="50" t="s">
        <v>1152</v>
      </c>
      <c r="D867" s="271" t="s">
        <v>3362</v>
      </c>
      <c r="E867" s="28" t="s">
        <v>1358</v>
      </c>
      <c r="F867" s="28" t="s">
        <v>1367</v>
      </c>
      <c r="G867" s="28" t="s">
        <v>1370</v>
      </c>
    </row>
    <row r="868" spans="1:7" ht="14.25" customHeight="1">
      <c r="A868" s="45">
        <v>861</v>
      </c>
      <c r="B868" s="194" t="s">
        <v>2774</v>
      </c>
      <c r="C868" s="50" t="s">
        <v>1099</v>
      </c>
      <c r="D868" s="271" t="s">
        <v>3347</v>
      </c>
      <c r="E868" s="28" t="s">
        <v>1358</v>
      </c>
      <c r="F868" s="28" t="s">
        <v>1367</v>
      </c>
      <c r="G868" s="28" t="s">
        <v>1370</v>
      </c>
    </row>
    <row r="869" spans="1:7" ht="14.25" customHeight="1">
      <c r="A869" s="45">
        <v>862</v>
      </c>
      <c r="B869" s="194" t="s">
        <v>2759</v>
      </c>
      <c r="C869" s="183" t="s">
        <v>2752</v>
      </c>
      <c r="D869" s="271" t="s">
        <v>3346</v>
      </c>
      <c r="E869" s="28" t="s">
        <v>1358</v>
      </c>
      <c r="F869" s="28" t="s">
        <v>1367</v>
      </c>
      <c r="G869" s="28" t="s">
        <v>1370</v>
      </c>
    </row>
    <row r="870" spans="1:7" ht="14.25" customHeight="1">
      <c r="A870" s="45">
        <v>863</v>
      </c>
      <c r="B870" s="38" t="s">
        <v>54</v>
      </c>
      <c r="C870" s="50" t="s">
        <v>1158</v>
      </c>
      <c r="D870" s="271" t="s">
        <v>3366</v>
      </c>
      <c r="E870" s="28" t="s">
        <v>1358</v>
      </c>
      <c r="F870" s="28" t="s">
        <v>1367</v>
      </c>
      <c r="G870" s="28" t="s">
        <v>1370</v>
      </c>
    </row>
    <row r="871" spans="1:7" ht="14.25" customHeight="1">
      <c r="A871" s="45">
        <v>864</v>
      </c>
      <c r="B871" s="40" t="s">
        <v>699</v>
      </c>
      <c r="C871" s="194" t="s">
        <v>2643</v>
      </c>
      <c r="D871" s="271" t="s">
        <v>3378</v>
      </c>
      <c r="E871" s="28" t="s">
        <v>1358</v>
      </c>
      <c r="F871" s="28" t="s">
        <v>1367</v>
      </c>
      <c r="G871" s="28" t="s">
        <v>1370</v>
      </c>
    </row>
    <row r="872" spans="1:7" ht="14.25" customHeight="1">
      <c r="A872" s="45">
        <v>865</v>
      </c>
      <c r="B872" s="39" t="s">
        <v>1210</v>
      </c>
      <c r="C872" s="50" t="s">
        <v>1092</v>
      </c>
      <c r="D872" s="273" t="s">
        <v>3368</v>
      </c>
      <c r="E872" s="28" t="s">
        <v>1358</v>
      </c>
      <c r="F872" s="28" t="s">
        <v>1367</v>
      </c>
      <c r="G872" s="28" t="s">
        <v>1369</v>
      </c>
    </row>
    <row r="873" spans="1:7" ht="14.25" customHeight="1">
      <c r="A873" s="45">
        <v>866</v>
      </c>
      <c r="B873" s="38" t="s">
        <v>1144</v>
      </c>
      <c r="C873" s="50" t="s">
        <v>1145</v>
      </c>
      <c r="D873" s="271" t="s">
        <v>3357</v>
      </c>
      <c r="E873" s="28" t="s">
        <v>1358</v>
      </c>
      <c r="F873" s="28" t="s">
        <v>1367</v>
      </c>
      <c r="G873" s="28" t="s">
        <v>1370</v>
      </c>
    </row>
    <row r="874" spans="1:7" ht="14.25" customHeight="1">
      <c r="A874" s="45">
        <v>867</v>
      </c>
      <c r="B874" s="40" t="s">
        <v>47</v>
      </c>
      <c r="C874" s="194" t="s">
        <v>2644</v>
      </c>
      <c r="D874" s="271" t="s">
        <v>3379</v>
      </c>
      <c r="E874" s="28" t="s">
        <v>1358</v>
      </c>
      <c r="F874" s="28" t="s">
        <v>1367</v>
      </c>
      <c r="G874" s="28" t="s">
        <v>1370</v>
      </c>
    </row>
    <row r="875" spans="1:7" ht="14.25" customHeight="1">
      <c r="A875" s="45">
        <v>868</v>
      </c>
      <c r="B875" s="38" t="s">
        <v>49</v>
      </c>
      <c r="C875" s="50" t="s">
        <v>1153</v>
      </c>
      <c r="D875" s="271" t="s">
        <v>3363</v>
      </c>
      <c r="E875" s="28" t="s">
        <v>1358</v>
      </c>
      <c r="F875" s="28" t="s">
        <v>1367</v>
      </c>
      <c r="G875" s="28" t="s">
        <v>1370</v>
      </c>
    </row>
    <row r="876" spans="1:7" ht="14.25" customHeight="1">
      <c r="A876" s="45">
        <v>869</v>
      </c>
      <c r="B876" s="38" t="s">
        <v>52</v>
      </c>
      <c r="C876" s="50" t="s">
        <v>1101</v>
      </c>
      <c r="D876" s="271" t="s">
        <v>3349</v>
      </c>
      <c r="E876" s="28" t="s">
        <v>1358</v>
      </c>
      <c r="F876" s="28" t="s">
        <v>1367</v>
      </c>
      <c r="G876" s="28" t="s">
        <v>1370</v>
      </c>
    </row>
    <row r="877" spans="1:7" ht="14.25" customHeight="1">
      <c r="A877" s="45">
        <v>870</v>
      </c>
      <c r="B877" s="38" t="s">
        <v>53</v>
      </c>
      <c r="C877" s="50" t="s">
        <v>1214</v>
      </c>
      <c r="D877" s="271" t="s">
        <v>3371</v>
      </c>
      <c r="E877" s="28" t="s">
        <v>1358</v>
      </c>
      <c r="F877" s="28" t="s">
        <v>1367</v>
      </c>
      <c r="G877" s="28" t="s">
        <v>1370</v>
      </c>
    </row>
    <row r="878" spans="1:7" ht="14.25" customHeight="1">
      <c r="A878" s="45">
        <v>871</v>
      </c>
      <c r="B878" s="38" t="s">
        <v>1087</v>
      </c>
      <c r="C878" s="50" t="s">
        <v>1088</v>
      </c>
      <c r="D878" s="271" t="s">
        <v>3340</v>
      </c>
      <c r="E878" s="28" t="s">
        <v>1358</v>
      </c>
      <c r="F878" s="28" t="s">
        <v>1367</v>
      </c>
      <c r="G878" s="28" t="s">
        <v>1370</v>
      </c>
    </row>
    <row r="879" spans="1:7" ht="14.25" customHeight="1">
      <c r="A879" s="45">
        <v>872</v>
      </c>
      <c r="B879" s="40" t="s">
        <v>12</v>
      </c>
      <c r="C879" s="194" t="s">
        <v>2645</v>
      </c>
      <c r="D879" s="271" t="s">
        <v>3380</v>
      </c>
      <c r="E879" s="28" t="s">
        <v>1358</v>
      </c>
      <c r="F879" s="28" t="s">
        <v>1367</v>
      </c>
      <c r="G879" s="28" t="s">
        <v>1370</v>
      </c>
    </row>
    <row r="880" spans="1:7" ht="14.25" customHeight="1">
      <c r="A880" s="45">
        <v>873</v>
      </c>
      <c r="B880" s="38" t="s">
        <v>1146</v>
      </c>
      <c r="C880" s="50" t="s">
        <v>1147</v>
      </c>
      <c r="D880" s="271" t="s">
        <v>3358</v>
      </c>
      <c r="E880" s="28" t="s">
        <v>1358</v>
      </c>
      <c r="F880" s="28" t="s">
        <v>1367</v>
      </c>
      <c r="G880" s="28" t="s">
        <v>1370</v>
      </c>
    </row>
    <row r="881" spans="1:7" ht="14.25" customHeight="1">
      <c r="A881" s="45">
        <v>874</v>
      </c>
      <c r="B881" s="38" t="s">
        <v>1093</v>
      </c>
      <c r="C881" s="50" t="s">
        <v>1094</v>
      </c>
      <c r="D881" s="271" t="s">
        <v>3343</v>
      </c>
      <c r="E881" s="28" t="s">
        <v>1358</v>
      </c>
      <c r="F881" s="28" t="s">
        <v>1367</v>
      </c>
      <c r="G881" s="28" t="s">
        <v>1370</v>
      </c>
    </row>
    <row r="882" spans="1:7" ht="14.25" customHeight="1">
      <c r="A882" s="45">
        <v>875</v>
      </c>
      <c r="B882" s="38" t="s">
        <v>1223</v>
      </c>
      <c r="C882" s="50" t="s">
        <v>1224</v>
      </c>
      <c r="D882" s="271" t="s">
        <v>3375</v>
      </c>
      <c r="E882" s="28" t="s">
        <v>1358</v>
      </c>
      <c r="F882" s="28" t="s">
        <v>1367</v>
      </c>
      <c r="G882" s="28" t="s">
        <v>1370</v>
      </c>
    </row>
    <row r="883" spans="1:7" ht="14.25" customHeight="1">
      <c r="A883" s="45">
        <v>876</v>
      </c>
      <c r="B883" s="195" t="s">
        <v>2773</v>
      </c>
      <c r="C883" s="205" t="s">
        <v>2796</v>
      </c>
      <c r="D883" s="271" t="s">
        <v>3377</v>
      </c>
      <c r="E883" s="28" t="s">
        <v>1358</v>
      </c>
      <c r="F883" s="28" t="s">
        <v>1367</v>
      </c>
      <c r="G883" s="28" t="s">
        <v>1369</v>
      </c>
    </row>
    <row r="884" spans="1:7" ht="14.25" customHeight="1">
      <c r="A884" s="45">
        <v>877</v>
      </c>
      <c r="B884" s="40" t="s">
        <v>420</v>
      </c>
      <c r="C884" s="194" t="s">
        <v>2646</v>
      </c>
      <c r="D884" s="271" t="s">
        <v>3381</v>
      </c>
      <c r="E884" s="28" t="s">
        <v>1358</v>
      </c>
      <c r="F884" s="28" t="s">
        <v>1367</v>
      </c>
      <c r="G884" s="28" t="s">
        <v>1370</v>
      </c>
    </row>
    <row r="885" spans="1:7" ht="14.25" customHeight="1">
      <c r="A885" s="45">
        <v>878</v>
      </c>
      <c r="B885" s="38" t="s">
        <v>9</v>
      </c>
      <c r="C885" s="50" t="s">
        <v>1084</v>
      </c>
      <c r="D885" s="271" t="s">
        <v>3337</v>
      </c>
      <c r="E885" s="28" t="s">
        <v>1358</v>
      </c>
      <c r="F885" s="28" t="s">
        <v>1367</v>
      </c>
      <c r="G885" s="28" t="s">
        <v>1369</v>
      </c>
    </row>
    <row r="886" spans="1:7" ht="14.25" customHeight="1">
      <c r="A886" s="45">
        <v>879</v>
      </c>
      <c r="B886" s="38" t="s">
        <v>1148</v>
      </c>
      <c r="C886" s="50" t="s">
        <v>1149</v>
      </c>
      <c r="D886" s="271" t="s">
        <v>3359</v>
      </c>
      <c r="E886" s="28" t="s">
        <v>1358</v>
      </c>
      <c r="F886" s="28" t="s">
        <v>1367</v>
      </c>
      <c r="G886" s="28" t="s">
        <v>1370</v>
      </c>
    </row>
    <row r="887" spans="1:7" ht="14.25" customHeight="1">
      <c r="A887" s="45">
        <v>880</v>
      </c>
      <c r="B887" s="38" t="s">
        <v>1142</v>
      </c>
      <c r="C887" s="50" t="s">
        <v>1143</v>
      </c>
      <c r="D887" s="271" t="s">
        <v>3356</v>
      </c>
      <c r="E887" s="28" t="s">
        <v>1358</v>
      </c>
      <c r="F887" s="28" t="s">
        <v>1367</v>
      </c>
      <c r="G887" s="28" t="s">
        <v>1370</v>
      </c>
    </row>
    <row r="888" spans="1:7" ht="14.25" customHeight="1">
      <c r="A888" s="45">
        <v>881</v>
      </c>
      <c r="B888" s="38" t="s">
        <v>1095</v>
      </c>
      <c r="C888" s="50" t="s">
        <v>1096</v>
      </c>
      <c r="D888" s="271" t="s">
        <v>3344</v>
      </c>
      <c r="E888" s="28" t="s">
        <v>1358</v>
      </c>
      <c r="F888" s="28" t="s">
        <v>1367</v>
      </c>
      <c r="G888" s="28" t="s">
        <v>1370</v>
      </c>
    </row>
    <row r="889" spans="1:7" ht="14.25" customHeight="1">
      <c r="A889" s="45">
        <v>882</v>
      </c>
      <c r="B889" s="38" t="s">
        <v>1150</v>
      </c>
      <c r="C889" s="50" t="s">
        <v>1124</v>
      </c>
      <c r="D889" s="271" t="s">
        <v>3360</v>
      </c>
      <c r="E889" s="28" t="s">
        <v>1358</v>
      </c>
      <c r="F889" s="28" t="s">
        <v>1367</v>
      </c>
      <c r="G889" s="28" t="s">
        <v>1370</v>
      </c>
    </row>
    <row r="890" spans="1:7" ht="14.25" customHeight="1">
      <c r="A890" s="45">
        <v>883</v>
      </c>
      <c r="B890" s="190" t="s">
        <v>2626</v>
      </c>
      <c r="C890" s="192" t="s">
        <v>2641</v>
      </c>
      <c r="D890" s="269" t="s">
        <v>3336</v>
      </c>
      <c r="E890" s="28" t="s">
        <v>1358</v>
      </c>
      <c r="F890" s="28" t="s">
        <v>1367</v>
      </c>
      <c r="G890" s="28" t="s">
        <v>1370</v>
      </c>
    </row>
    <row r="891" spans="1:7" ht="14.25" customHeight="1">
      <c r="A891" s="45">
        <v>884</v>
      </c>
      <c r="B891" s="38" t="s">
        <v>1156</v>
      </c>
      <c r="C891" s="50" t="s">
        <v>1157</v>
      </c>
      <c r="D891" s="271" t="s">
        <v>3365</v>
      </c>
      <c r="E891" s="28" t="s">
        <v>1358</v>
      </c>
      <c r="F891" s="28" t="s">
        <v>1367</v>
      </c>
      <c r="G891" s="28" t="s">
        <v>1370</v>
      </c>
    </row>
    <row r="892" spans="1:7" ht="14.25" customHeight="1">
      <c r="A892" s="45">
        <v>885</v>
      </c>
      <c r="B892" s="38" t="s">
        <v>1208</v>
      </c>
      <c r="C892" s="50" t="s">
        <v>1209</v>
      </c>
      <c r="D892" s="271" t="s">
        <v>3367</v>
      </c>
      <c r="E892" s="28" t="s">
        <v>1358</v>
      </c>
      <c r="F892" s="28" t="s">
        <v>1367</v>
      </c>
      <c r="G892" s="28" t="s">
        <v>1369</v>
      </c>
    </row>
    <row r="893" spans="1:7" ht="14.25" customHeight="1">
      <c r="A893" s="45">
        <v>886</v>
      </c>
      <c r="B893" s="205" t="s">
        <v>2789</v>
      </c>
      <c r="C893" s="50" t="s">
        <v>1219</v>
      </c>
      <c r="D893" s="271" t="s">
        <v>3372</v>
      </c>
      <c r="E893" s="28" t="s">
        <v>1358</v>
      </c>
      <c r="F893" s="28" t="s">
        <v>1367</v>
      </c>
      <c r="G893" s="28" t="s">
        <v>1369</v>
      </c>
    </row>
    <row r="894" spans="1:7" ht="14.25" customHeight="1">
      <c r="A894" s="45">
        <v>887</v>
      </c>
      <c r="B894" s="40" t="s">
        <v>352</v>
      </c>
      <c r="C894" s="194" t="s">
        <v>2642</v>
      </c>
      <c r="D894" s="271" t="s">
        <v>3372</v>
      </c>
      <c r="E894" s="28" t="s">
        <v>1358</v>
      </c>
      <c r="F894" s="28" t="s">
        <v>1367</v>
      </c>
      <c r="G894" s="28" t="s">
        <v>1370</v>
      </c>
    </row>
    <row r="895" spans="1:7" ht="14.25" customHeight="1">
      <c r="A895" s="45">
        <v>888</v>
      </c>
      <c r="B895" s="205" t="s">
        <v>2788</v>
      </c>
      <c r="C895" s="50" t="s">
        <v>1091</v>
      </c>
      <c r="D895" s="271" t="s">
        <v>3342</v>
      </c>
      <c r="E895" s="28" t="s">
        <v>1358</v>
      </c>
      <c r="F895" s="28" t="s">
        <v>1367</v>
      </c>
      <c r="G895" s="28" t="s">
        <v>1370</v>
      </c>
    </row>
    <row r="896" spans="1:7" ht="14.25" customHeight="1">
      <c r="A896" s="45">
        <v>889</v>
      </c>
      <c r="B896" s="206" t="s">
        <v>2790</v>
      </c>
      <c r="C896" s="194" t="s">
        <v>2649</v>
      </c>
      <c r="D896" s="271" t="s">
        <v>3384</v>
      </c>
      <c r="E896" s="28" t="s">
        <v>1358</v>
      </c>
      <c r="F896" s="28" t="s">
        <v>1367</v>
      </c>
      <c r="G896" s="28" t="s">
        <v>1370</v>
      </c>
    </row>
    <row r="897" spans="1:7" ht="14.25" customHeight="1">
      <c r="A897" s="45">
        <v>890</v>
      </c>
      <c r="B897" s="40" t="s">
        <v>15</v>
      </c>
      <c r="C897" s="194" t="s">
        <v>2648</v>
      </c>
      <c r="D897" s="271" t="s">
        <v>3383</v>
      </c>
      <c r="E897" s="28" t="s">
        <v>1358</v>
      </c>
      <c r="F897" s="28" t="s">
        <v>1367</v>
      </c>
      <c r="G897" s="28" t="s">
        <v>1370</v>
      </c>
    </row>
    <row r="898" spans="1:7" ht="14.25" customHeight="1">
      <c r="A898" s="45">
        <v>891</v>
      </c>
      <c r="B898" s="38" t="s">
        <v>1221</v>
      </c>
      <c r="C898" s="50" t="s">
        <v>1222</v>
      </c>
      <c r="D898" s="271" t="s">
        <v>3374</v>
      </c>
      <c r="E898" s="28" t="s">
        <v>1358</v>
      </c>
      <c r="F898" s="28" t="s">
        <v>1367</v>
      </c>
      <c r="G898" s="28" t="s">
        <v>1370</v>
      </c>
    </row>
    <row r="899" spans="1:7" ht="14.25" customHeight="1">
      <c r="A899" s="45">
        <v>892</v>
      </c>
      <c r="B899" s="38" t="s">
        <v>46</v>
      </c>
      <c r="C899" s="50" t="s">
        <v>1220</v>
      </c>
      <c r="D899" s="271" t="s">
        <v>3373</v>
      </c>
      <c r="E899" s="28" t="s">
        <v>1358</v>
      </c>
      <c r="F899" s="28" t="s">
        <v>1367</v>
      </c>
      <c r="G899" s="28" t="s">
        <v>1369</v>
      </c>
    </row>
    <row r="900" spans="1:7" ht="14.25" customHeight="1">
      <c r="A900" s="45">
        <v>893</v>
      </c>
      <c r="B900" s="38" t="s">
        <v>1102</v>
      </c>
      <c r="C900" s="50" t="s">
        <v>1103</v>
      </c>
      <c r="D900" s="271" t="s">
        <v>3350</v>
      </c>
      <c r="E900" s="28" t="s">
        <v>1358</v>
      </c>
      <c r="F900" s="28" t="s">
        <v>1367</v>
      </c>
      <c r="G900" s="28" t="s">
        <v>1370</v>
      </c>
    </row>
    <row r="901" spans="1:7" ht="14.25" customHeight="1">
      <c r="A901" s="45">
        <v>894</v>
      </c>
      <c r="B901" s="38" t="s">
        <v>45</v>
      </c>
      <c r="C901" s="50" t="s">
        <v>1141</v>
      </c>
      <c r="D901" s="271" t="s">
        <v>3355</v>
      </c>
      <c r="E901" s="28" t="s">
        <v>1358</v>
      </c>
      <c r="F901" s="28" t="s">
        <v>1367</v>
      </c>
      <c r="G901" s="28" t="s">
        <v>1370</v>
      </c>
    </row>
    <row r="902" spans="1:7" ht="14.25" customHeight="1">
      <c r="A902" s="45">
        <v>895</v>
      </c>
      <c r="B902" s="253" t="s">
        <v>1228</v>
      </c>
      <c r="C902" s="254" t="s">
        <v>1229</v>
      </c>
      <c r="D902" s="469" t="s">
        <v>3413</v>
      </c>
      <c r="E902" s="28" t="s">
        <v>1358</v>
      </c>
      <c r="F902" s="28" t="s">
        <v>1367</v>
      </c>
      <c r="G902" s="28" t="s">
        <v>1371</v>
      </c>
    </row>
    <row r="903" spans="1:7" ht="14.25" customHeight="1">
      <c r="A903" s="45">
        <v>896</v>
      </c>
      <c r="B903" s="253" t="s">
        <v>2770</v>
      </c>
      <c r="C903" s="254" t="s">
        <v>1215</v>
      </c>
      <c r="D903" s="469" t="s">
        <v>3407</v>
      </c>
      <c r="E903" s="28" t="s">
        <v>1358</v>
      </c>
      <c r="F903" s="28" t="s">
        <v>1367</v>
      </c>
      <c r="G903" s="28" t="s">
        <v>1371</v>
      </c>
    </row>
    <row r="904" spans="1:7" ht="14.25" customHeight="1">
      <c r="A904" s="45">
        <v>897</v>
      </c>
      <c r="B904" s="253" t="s">
        <v>2769</v>
      </c>
      <c r="C904" s="254" t="s">
        <v>1164</v>
      </c>
      <c r="D904" s="469" t="s">
        <v>3401</v>
      </c>
      <c r="E904" s="28" t="s">
        <v>1358</v>
      </c>
      <c r="F904" s="28" t="s">
        <v>1367</v>
      </c>
      <c r="G904" s="28" t="s">
        <v>871</v>
      </c>
    </row>
    <row r="905" spans="1:7" ht="14.25" customHeight="1">
      <c r="A905" s="45">
        <v>898</v>
      </c>
      <c r="B905" s="253" t="s">
        <v>2768</v>
      </c>
      <c r="C905" s="254" t="s">
        <v>1163</v>
      </c>
      <c r="D905" s="469" t="s">
        <v>3400</v>
      </c>
      <c r="E905" s="28" t="s">
        <v>1358</v>
      </c>
      <c r="F905" s="28" t="s">
        <v>1367</v>
      </c>
      <c r="G905" s="28" t="s">
        <v>871</v>
      </c>
    </row>
    <row r="906" spans="1:7" ht="14.25" customHeight="1">
      <c r="A906" s="45">
        <v>899</v>
      </c>
      <c r="B906" s="253" t="s">
        <v>58</v>
      </c>
      <c r="C906" s="254" t="s">
        <v>1107</v>
      </c>
      <c r="D906" s="469" t="s">
        <v>3388</v>
      </c>
      <c r="E906" s="28" t="s">
        <v>1358</v>
      </c>
      <c r="F906" s="28" t="s">
        <v>1367</v>
      </c>
      <c r="G906" s="28" t="s">
        <v>1371</v>
      </c>
    </row>
    <row r="907" spans="1:7" ht="14.25" customHeight="1">
      <c r="A907" s="45">
        <v>900</v>
      </c>
      <c r="B907" s="253" t="s">
        <v>2766</v>
      </c>
      <c r="C907" s="254" t="s">
        <v>1108</v>
      </c>
      <c r="D907" s="469" t="s">
        <v>3389</v>
      </c>
      <c r="E907" s="28" t="s">
        <v>1358</v>
      </c>
      <c r="F907" s="28" t="s">
        <v>1367</v>
      </c>
      <c r="G907" s="28" t="s">
        <v>871</v>
      </c>
    </row>
    <row r="908" spans="1:7" ht="14.25" customHeight="1">
      <c r="A908" s="45">
        <v>901</v>
      </c>
      <c r="B908" s="253" t="s">
        <v>2767</v>
      </c>
      <c r="C908" s="254" t="s">
        <v>1109</v>
      </c>
      <c r="D908" s="469" t="s">
        <v>3390</v>
      </c>
      <c r="E908" s="28" t="s">
        <v>1358</v>
      </c>
      <c r="F908" s="28" t="s">
        <v>1367</v>
      </c>
      <c r="G908" s="28" t="s">
        <v>871</v>
      </c>
    </row>
    <row r="909" spans="1:7" ht="14.25" customHeight="1">
      <c r="A909" s="45">
        <v>902</v>
      </c>
      <c r="B909" s="253" t="s">
        <v>2771</v>
      </c>
      <c r="C909" s="254" t="s">
        <v>1216</v>
      </c>
      <c r="D909" s="469" t="s">
        <v>3408</v>
      </c>
      <c r="E909" s="28" t="s">
        <v>1358</v>
      </c>
      <c r="F909" s="28" t="s">
        <v>1367</v>
      </c>
      <c r="G909" s="28" t="s">
        <v>1371</v>
      </c>
    </row>
    <row r="910" spans="1:7" ht="14.25" customHeight="1">
      <c r="A910" s="45">
        <v>903</v>
      </c>
      <c r="B910" s="253" t="s">
        <v>1166</v>
      </c>
      <c r="C910" s="254" t="s">
        <v>1167</v>
      </c>
      <c r="D910" s="469" t="s">
        <v>3403</v>
      </c>
      <c r="E910" s="28" t="s">
        <v>1358</v>
      </c>
      <c r="F910" s="28" t="s">
        <v>1367</v>
      </c>
      <c r="G910" s="28" t="s">
        <v>871</v>
      </c>
    </row>
    <row r="911" spans="1:7" ht="14.25" customHeight="1">
      <c r="A911" s="45">
        <v>904</v>
      </c>
      <c r="B911" s="257" t="s">
        <v>57</v>
      </c>
      <c r="C911" s="256" t="s">
        <v>2656</v>
      </c>
      <c r="D911" s="469" t="s">
        <v>3418</v>
      </c>
      <c r="E911" s="28" t="s">
        <v>1358</v>
      </c>
      <c r="F911" s="28" t="s">
        <v>1367</v>
      </c>
      <c r="G911" s="28" t="s">
        <v>871</v>
      </c>
    </row>
    <row r="912" spans="1:7" ht="14.25" customHeight="1">
      <c r="A912" s="45">
        <v>905</v>
      </c>
      <c r="B912" s="253" t="s">
        <v>18</v>
      </c>
      <c r="C912" s="254" t="s">
        <v>1162</v>
      </c>
      <c r="D912" s="469" t="s">
        <v>3399</v>
      </c>
      <c r="E912" s="28" t="s">
        <v>1358</v>
      </c>
      <c r="F912" s="28" t="s">
        <v>1367</v>
      </c>
      <c r="G912" s="28" t="s">
        <v>1371</v>
      </c>
    </row>
    <row r="913" spans="1:7" ht="14.25" customHeight="1">
      <c r="A913" s="45">
        <v>906</v>
      </c>
      <c r="B913" s="253" t="s">
        <v>1116</v>
      </c>
      <c r="C913" s="254" t="s">
        <v>1117</v>
      </c>
      <c r="D913" s="469" t="s">
        <v>3395</v>
      </c>
      <c r="E913" s="28" t="s">
        <v>1358</v>
      </c>
      <c r="F913" s="28" t="s">
        <v>1367</v>
      </c>
      <c r="G913" s="28" t="s">
        <v>871</v>
      </c>
    </row>
    <row r="914" spans="1:7" ht="14.25" customHeight="1">
      <c r="A914" s="45">
        <v>907</v>
      </c>
      <c r="B914" s="251" t="s">
        <v>1122</v>
      </c>
      <c r="C914" s="254" t="s">
        <v>1123</v>
      </c>
      <c r="D914" s="470" t="s">
        <v>3396</v>
      </c>
      <c r="E914" s="28" t="s">
        <v>1358</v>
      </c>
      <c r="F914" s="28" t="s">
        <v>1367</v>
      </c>
      <c r="G914" s="28" t="s">
        <v>1371</v>
      </c>
    </row>
    <row r="915" spans="1:7" ht="14.25" customHeight="1">
      <c r="A915" s="45">
        <v>908</v>
      </c>
      <c r="B915" s="256" t="s">
        <v>2763</v>
      </c>
      <c r="C915" s="254" t="s">
        <v>1218</v>
      </c>
      <c r="D915" s="469" t="s">
        <v>3410</v>
      </c>
      <c r="E915" s="28" t="s">
        <v>1358</v>
      </c>
      <c r="F915" s="28" t="s">
        <v>1367</v>
      </c>
      <c r="G915" s="28" t="s">
        <v>1371</v>
      </c>
    </row>
    <row r="916" spans="1:7" ht="14.25" customHeight="1">
      <c r="A916" s="45">
        <v>909</v>
      </c>
      <c r="B916" s="256" t="s">
        <v>2762</v>
      </c>
      <c r="C916" s="254" t="s">
        <v>1168</v>
      </c>
      <c r="D916" s="469" t="s">
        <v>3404</v>
      </c>
      <c r="E916" s="28" t="s">
        <v>1358</v>
      </c>
      <c r="F916" s="28" t="s">
        <v>1367</v>
      </c>
      <c r="G916" s="28" t="s">
        <v>871</v>
      </c>
    </row>
    <row r="917" spans="1:7" ht="14.25" customHeight="1">
      <c r="A917" s="45">
        <v>910</v>
      </c>
      <c r="B917" s="257" t="s">
        <v>19</v>
      </c>
      <c r="C917" s="256" t="s">
        <v>2658</v>
      </c>
      <c r="D917" s="469" t="s">
        <v>3420</v>
      </c>
      <c r="E917" s="28" t="s">
        <v>1358</v>
      </c>
      <c r="F917" s="28" t="s">
        <v>1367</v>
      </c>
      <c r="G917" s="28" t="s">
        <v>871</v>
      </c>
    </row>
    <row r="918" spans="1:7" ht="14.25" customHeight="1">
      <c r="A918" s="45">
        <v>911</v>
      </c>
      <c r="B918" s="253" t="s">
        <v>1114</v>
      </c>
      <c r="C918" s="255" t="s">
        <v>2746</v>
      </c>
      <c r="D918" s="469" t="s">
        <v>3393</v>
      </c>
      <c r="E918" s="28" t="s">
        <v>1358</v>
      </c>
      <c r="F918" s="28" t="s">
        <v>1367</v>
      </c>
      <c r="G918" s="28" t="s">
        <v>871</v>
      </c>
    </row>
    <row r="919" spans="1:7" ht="14.25" customHeight="1">
      <c r="A919" s="45">
        <v>912</v>
      </c>
      <c r="B919" s="253" t="s">
        <v>1169</v>
      </c>
      <c r="C919" s="254" t="s">
        <v>1170</v>
      </c>
      <c r="D919" s="469" t="s">
        <v>3405</v>
      </c>
      <c r="E919" s="28" t="s">
        <v>1358</v>
      </c>
      <c r="F919" s="28" t="s">
        <v>1367</v>
      </c>
      <c r="G919" s="28" t="s">
        <v>871</v>
      </c>
    </row>
    <row r="920" spans="1:7" ht="14.25" customHeight="1">
      <c r="A920" s="45">
        <v>913</v>
      </c>
      <c r="B920" s="253" t="s">
        <v>23</v>
      </c>
      <c r="C920" s="254" t="s">
        <v>23</v>
      </c>
      <c r="D920" s="469" t="s">
        <v>3406</v>
      </c>
      <c r="E920" s="28" t="s">
        <v>1358</v>
      </c>
      <c r="F920" s="28" t="s">
        <v>1367</v>
      </c>
      <c r="G920" s="28" t="s">
        <v>871</v>
      </c>
    </row>
    <row r="921" spans="1:7" ht="14.25" customHeight="1">
      <c r="A921" s="45">
        <v>914</v>
      </c>
      <c r="B921" s="253" t="s">
        <v>1112</v>
      </c>
      <c r="C921" s="254" t="s">
        <v>1113</v>
      </c>
      <c r="D921" s="469" t="s">
        <v>3392</v>
      </c>
      <c r="E921" s="28" t="s">
        <v>1358</v>
      </c>
      <c r="F921" s="28" t="s">
        <v>1367</v>
      </c>
      <c r="G921" s="28" t="s">
        <v>871</v>
      </c>
    </row>
    <row r="922" spans="1:7" ht="14.25" customHeight="1">
      <c r="A922" s="45">
        <v>915</v>
      </c>
      <c r="B922" s="257" t="s">
        <v>62</v>
      </c>
      <c r="C922" s="256" t="s">
        <v>2660</v>
      </c>
      <c r="D922" s="469" t="s">
        <v>3422</v>
      </c>
      <c r="E922" s="28" t="s">
        <v>1358</v>
      </c>
      <c r="F922" s="28" t="s">
        <v>1367</v>
      </c>
      <c r="G922" s="28" t="s">
        <v>871</v>
      </c>
    </row>
    <row r="923" spans="1:7" ht="14.25" customHeight="1">
      <c r="A923" s="45">
        <v>916</v>
      </c>
      <c r="B923" s="258" t="s">
        <v>2654</v>
      </c>
      <c r="C923" s="256" t="s">
        <v>2642</v>
      </c>
      <c r="D923" s="469" t="s">
        <v>3417</v>
      </c>
      <c r="E923" s="28" t="s">
        <v>1358</v>
      </c>
      <c r="F923" s="28" t="s">
        <v>1367</v>
      </c>
      <c r="G923" s="28" t="s">
        <v>871</v>
      </c>
    </row>
    <row r="924" spans="1:7" ht="14.25" customHeight="1">
      <c r="A924" s="45">
        <v>917</v>
      </c>
      <c r="B924" s="253" t="s">
        <v>1105</v>
      </c>
      <c r="C924" s="254" t="s">
        <v>1106</v>
      </c>
      <c r="D924" s="469" t="s">
        <v>3387</v>
      </c>
      <c r="E924" s="28" t="s">
        <v>1358</v>
      </c>
      <c r="F924" s="28" t="s">
        <v>1367</v>
      </c>
      <c r="G924" s="28" t="s">
        <v>1371</v>
      </c>
    </row>
    <row r="925" spans="1:7" ht="14.25" customHeight="1">
      <c r="A925" s="45">
        <v>918</v>
      </c>
      <c r="B925" s="258" t="s">
        <v>2655</v>
      </c>
      <c r="C925" s="256" t="s">
        <v>2653</v>
      </c>
      <c r="D925" s="469" t="s">
        <v>3416</v>
      </c>
      <c r="E925" s="28" t="s">
        <v>1358</v>
      </c>
      <c r="F925" s="28" t="s">
        <v>1367</v>
      </c>
      <c r="G925" s="28" t="s">
        <v>1371</v>
      </c>
    </row>
    <row r="926" spans="1:7" ht="14.25" customHeight="1">
      <c r="A926" s="45">
        <v>919</v>
      </c>
      <c r="B926" s="253" t="s">
        <v>22</v>
      </c>
      <c r="C926" s="254" t="s">
        <v>1115</v>
      </c>
      <c r="D926" s="469" t="s">
        <v>3394</v>
      </c>
      <c r="E926" s="28" t="s">
        <v>1358</v>
      </c>
      <c r="F926" s="28" t="s">
        <v>1367</v>
      </c>
      <c r="G926" s="28" t="s">
        <v>871</v>
      </c>
    </row>
    <row r="927" spans="1:7" ht="14.25" customHeight="1">
      <c r="A927" s="45">
        <v>920</v>
      </c>
      <c r="B927" s="257" t="s">
        <v>63</v>
      </c>
      <c r="C927" s="256" t="s">
        <v>2661</v>
      </c>
      <c r="D927" s="469" t="s">
        <v>3423</v>
      </c>
      <c r="E927" s="28" t="s">
        <v>1358</v>
      </c>
      <c r="F927" s="28" t="s">
        <v>1367</v>
      </c>
      <c r="G927" s="28" t="s">
        <v>871</v>
      </c>
    </row>
    <row r="928" spans="1:7" ht="14.25" customHeight="1">
      <c r="A928" s="45">
        <v>921</v>
      </c>
      <c r="B928" s="257" t="s">
        <v>482</v>
      </c>
      <c r="C928" s="256" t="s">
        <v>2659</v>
      </c>
      <c r="D928" s="469" t="s">
        <v>3421</v>
      </c>
      <c r="E928" s="28" t="s">
        <v>1358</v>
      </c>
      <c r="F928" s="28" t="s">
        <v>1367</v>
      </c>
      <c r="G928" s="28" t="s">
        <v>871</v>
      </c>
    </row>
    <row r="929" spans="1:7" ht="14.25" customHeight="1">
      <c r="A929" s="45">
        <v>922</v>
      </c>
      <c r="B929" s="253" t="s">
        <v>1230</v>
      </c>
      <c r="C929" s="254" t="s">
        <v>1231</v>
      </c>
      <c r="D929" s="469" t="s">
        <v>3414</v>
      </c>
      <c r="E929" s="28" t="s">
        <v>1358</v>
      </c>
      <c r="F929" s="28" t="s">
        <v>1367</v>
      </c>
      <c r="G929" s="28" t="s">
        <v>1371</v>
      </c>
    </row>
    <row r="930" spans="1:7" ht="14.25" customHeight="1">
      <c r="A930" s="45">
        <v>923</v>
      </c>
      <c r="B930" s="253" t="s">
        <v>1160</v>
      </c>
      <c r="C930" s="254" t="s">
        <v>1161</v>
      </c>
      <c r="D930" s="469" t="s">
        <v>3398</v>
      </c>
      <c r="E930" s="28" t="s">
        <v>1358</v>
      </c>
      <c r="F930" s="28" t="s">
        <v>1367</v>
      </c>
      <c r="G930" s="28" t="s">
        <v>1371</v>
      </c>
    </row>
    <row r="931" spans="1:7" ht="14.25" customHeight="1">
      <c r="A931" s="45">
        <v>924</v>
      </c>
      <c r="B931" s="257" t="s">
        <v>319</v>
      </c>
      <c r="C931" s="256" t="s">
        <v>2652</v>
      </c>
      <c r="D931" s="469" t="s">
        <v>3415</v>
      </c>
      <c r="E931" s="28" t="s">
        <v>1358</v>
      </c>
      <c r="F931" s="28" t="s">
        <v>1367</v>
      </c>
      <c r="G931" s="28" t="s">
        <v>1371</v>
      </c>
    </row>
    <row r="932" spans="1:7" ht="14.25" customHeight="1">
      <c r="A932" s="45">
        <v>925</v>
      </c>
      <c r="B932" s="253" t="s">
        <v>21</v>
      </c>
      <c r="C932" s="254" t="s">
        <v>1217</v>
      </c>
      <c r="D932" s="469" t="s">
        <v>3409</v>
      </c>
      <c r="E932" s="28" t="s">
        <v>1358</v>
      </c>
      <c r="F932" s="28" t="s">
        <v>1367</v>
      </c>
      <c r="G932" s="28" t="s">
        <v>1371</v>
      </c>
    </row>
    <row r="933" spans="1:7" ht="14.25" customHeight="1">
      <c r="A933" s="45">
        <v>926</v>
      </c>
      <c r="B933" s="253" t="s">
        <v>60</v>
      </c>
      <c r="C933" s="254" t="s">
        <v>1226</v>
      </c>
      <c r="D933" s="469" t="s">
        <v>3411</v>
      </c>
      <c r="E933" s="28" t="s">
        <v>1358</v>
      </c>
      <c r="F933" s="28" t="s">
        <v>1367</v>
      </c>
      <c r="G933" s="28" t="s">
        <v>1371</v>
      </c>
    </row>
    <row r="934" spans="1:7" ht="14.25" customHeight="1">
      <c r="A934" s="45">
        <v>927</v>
      </c>
      <c r="B934" s="253" t="s">
        <v>61</v>
      </c>
      <c r="C934" s="254" t="s">
        <v>1227</v>
      </c>
      <c r="D934" s="469" t="s">
        <v>3412</v>
      </c>
      <c r="E934" s="28" t="s">
        <v>1358</v>
      </c>
      <c r="F934" s="28" t="s">
        <v>1367</v>
      </c>
      <c r="G934" s="28" t="s">
        <v>1371</v>
      </c>
    </row>
    <row r="935" spans="1:7" ht="14.25" customHeight="1">
      <c r="A935" s="45">
        <v>928</v>
      </c>
      <c r="B935" s="253" t="s">
        <v>1110</v>
      </c>
      <c r="C935" s="254" t="s">
        <v>1111</v>
      </c>
      <c r="D935" s="469" t="s">
        <v>3391</v>
      </c>
      <c r="E935" s="28" t="s">
        <v>1358</v>
      </c>
      <c r="F935" s="28" t="s">
        <v>1367</v>
      </c>
      <c r="G935" s="28" t="s">
        <v>871</v>
      </c>
    </row>
    <row r="936" spans="1:7" ht="14.25" customHeight="1">
      <c r="A936" s="45">
        <v>929</v>
      </c>
      <c r="B936" s="253" t="s">
        <v>20</v>
      </c>
      <c r="C936" s="254" t="s">
        <v>1165</v>
      </c>
      <c r="D936" s="469" t="s">
        <v>3402</v>
      </c>
      <c r="E936" s="28" t="s">
        <v>1358</v>
      </c>
      <c r="F936" s="28" t="s">
        <v>1367</v>
      </c>
      <c r="G936" s="28" t="s">
        <v>871</v>
      </c>
    </row>
    <row r="937" spans="1:7" ht="14.25" customHeight="1">
      <c r="A937" s="45">
        <v>930</v>
      </c>
      <c r="B937" s="253" t="s">
        <v>17</v>
      </c>
      <c r="C937" s="254" t="s">
        <v>1159</v>
      </c>
      <c r="D937" s="469" t="s">
        <v>3397</v>
      </c>
      <c r="E937" s="28" t="s">
        <v>1358</v>
      </c>
      <c r="F937" s="28" t="s">
        <v>1367</v>
      </c>
      <c r="G937" s="28" t="s">
        <v>1371</v>
      </c>
    </row>
    <row r="938" spans="1:7" ht="14.25" customHeight="1">
      <c r="A938" s="45">
        <v>931</v>
      </c>
      <c r="B938" s="257" t="s">
        <v>59</v>
      </c>
      <c r="C938" s="256" t="s">
        <v>2657</v>
      </c>
      <c r="D938" s="469" t="s">
        <v>3419</v>
      </c>
      <c r="E938" s="28" t="s">
        <v>1358</v>
      </c>
      <c r="F938" s="28" t="s">
        <v>1367</v>
      </c>
      <c r="G938" s="28" t="s">
        <v>871</v>
      </c>
    </row>
    <row r="939" spans="1:7" ht="14.25" customHeight="1">
      <c r="A939" s="45">
        <v>932</v>
      </c>
      <c r="B939" s="31" t="s">
        <v>1171</v>
      </c>
      <c r="C939" s="51" t="s">
        <v>1172</v>
      </c>
      <c r="D939" s="275" t="s">
        <v>3428</v>
      </c>
      <c r="E939" s="28" t="s">
        <v>1358</v>
      </c>
      <c r="F939" s="28" t="s">
        <v>1367</v>
      </c>
      <c r="G939" s="28" t="s">
        <v>1372</v>
      </c>
    </row>
    <row r="940" spans="1:7" ht="14.25" customHeight="1">
      <c r="A940" s="45">
        <v>933</v>
      </c>
      <c r="B940" s="58" t="s">
        <v>2779</v>
      </c>
      <c r="C940" s="51" t="s">
        <v>1118</v>
      </c>
      <c r="D940" s="275" t="s">
        <v>3425</v>
      </c>
      <c r="E940" s="28" t="s">
        <v>1358</v>
      </c>
      <c r="F940" s="28" t="s">
        <v>1367</v>
      </c>
      <c r="G940" s="28" t="s">
        <v>1372</v>
      </c>
    </row>
    <row r="941" spans="1:7" ht="14.25" customHeight="1">
      <c r="A941" s="45">
        <v>934</v>
      </c>
      <c r="B941" s="41" t="s">
        <v>349</v>
      </c>
      <c r="C941" s="197" t="s">
        <v>2663</v>
      </c>
      <c r="D941" s="275" t="s">
        <v>3433</v>
      </c>
      <c r="E941" s="28" t="s">
        <v>1358</v>
      </c>
      <c r="F941" s="28" t="s">
        <v>1367</v>
      </c>
      <c r="G941" s="28" t="s">
        <v>1372</v>
      </c>
    </row>
    <row r="942" spans="1:7" ht="14.25" customHeight="1">
      <c r="A942" s="45">
        <v>935</v>
      </c>
      <c r="B942" s="41" t="s">
        <v>66</v>
      </c>
      <c r="C942" s="197" t="s">
        <v>2665</v>
      </c>
      <c r="D942" s="275" t="s">
        <v>3434</v>
      </c>
      <c r="E942" s="28" t="s">
        <v>1358</v>
      </c>
      <c r="F942" s="28" t="s">
        <v>1367</v>
      </c>
      <c r="G942" s="28" t="s">
        <v>1376</v>
      </c>
    </row>
    <row r="943" spans="1:7" ht="14.25" customHeight="1">
      <c r="A943" s="45">
        <v>936</v>
      </c>
      <c r="B943" s="41" t="s">
        <v>64</v>
      </c>
      <c r="C943" s="196" t="s">
        <v>2662</v>
      </c>
      <c r="D943" s="274" t="s">
        <v>3432</v>
      </c>
      <c r="E943" s="28" t="s">
        <v>1358</v>
      </c>
      <c r="F943" s="28" t="s">
        <v>1367</v>
      </c>
      <c r="G943" s="28" t="s">
        <v>1372</v>
      </c>
    </row>
    <row r="944" spans="1:7" ht="14.25" customHeight="1">
      <c r="A944" s="45">
        <v>937</v>
      </c>
      <c r="B944" s="58" t="s">
        <v>1663</v>
      </c>
      <c r="C944" s="51" t="s">
        <v>1173</v>
      </c>
      <c r="D944" s="275" t="s">
        <v>3429</v>
      </c>
      <c r="E944" s="28" t="s">
        <v>1358</v>
      </c>
      <c r="F944" s="28" t="s">
        <v>1367</v>
      </c>
      <c r="G944" s="28" t="s">
        <v>1372</v>
      </c>
    </row>
    <row r="945" spans="1:7" ht="14.25" customHeight="1">
      <c r="A945" s="45">
        <v>938</v>
      </c>
      <c r="B945" s="31" t="s">
        <v>25</v>
      </c>
      <c r="C945" s="51" t="s">
        <v>1175</v>
      </c>
      <c r="D945" s="275" t="s">
        <v>3431</v>
      </c>
      <c r="E945" s="28" t="s">
        <v>1358</v>
      </c>
      <c r="F945" s="28" t="s">
        <v>1367</v>
      </c>
      <c r="G945" s="28" t="s">
        <v>1372</v>
      </c>
    </row>
    <row r="946" spans="1:7" ht="14.25" customHeight="1">
      <c r="A946" s="45">
        <v>939</v>
      </c>
      <c r="B946" s="31" t="s">
        <v>1120</v>
      </c>
      <c r="C946" s="51" t="s">
        <v>1121</v>
      </c>
      <c r="D946" s="275" t="s">
        <v>3427</v>
      </c>
      <c r="E946" s="28" t="s">
        <v>1358</v>
      </c>
      <c r="F946" s="28" t="s">
        <v>1367</v>
      </c>
      <c r="G946" s="28" t="s">
        <v>1372</v>
      </c>
    </row>
    <row r="947" spans="1:7" ht="14.25" customHeight="1">
      <c r="A947" s="45">
        <v>940</v>
      </c>
      <c r="B947" s="31" t="s">
        <v>65</v>
      </c>
      <c r="C947" s="51" t="s">
        <v>1174</v>
      </c>
      <c r="D947" s="275" t="s">
        <v>3430</v>
      </c>
      <c r="E947" s="28" t="s">
        <v>1358</v>
      </c>
      <c r="F947" s="28" t="s">
        <v>1367</v>
      </c>
      <c r="G947" s="28" t="s">
        <v>1372</v>
      </c>
    </row>
    <row r="948" spans="1:7" ht="14.25" customHeight="1">
      <c r="A948" s="45">
        <v>941</v>
      </c>
      <c r="B948" s="197" t="s">
        <v>2664</v>
      </c>
      <c r="C948" s="51" t="s">
        <v>1119</v>
      </c>
      <c r="D948" s="275" t="s">
        <v>3426</v>
      </c>
      <c r="E948" s="28" t="s">
        <v>1358</v>
      </c>
      <c r="F948" s="28" t="s">
        <v>1367</v>
      </c>
      <c r="G948" s="28" t="s">
        <v>1372</v>
      </c>
    </row>
    <row r="949" spans="1:7" ht="14.25" customHeight="1">
      <c r="A949" s="45">
        <v>942</v>
      </c>
      <c r="B949" s="196" t="s">
        <v>2775</v>
      </c>
      <c r="C949" s="51" t="s">
        <v>1104</v>
      </c>
      <c r="D949" s="274" t="s">
        <v>3424</v>
      </c>
      <c r="E949" s="28" t="s">
        <v>1358</v>
      </c>
      <c r="F949" s="28" t="s">
        <v>1367</v>
      </c>
      <c r="G949" s="28" t="s">
        <v>1372</v>
      </c>
    </row>
    <row r="950" spans="1:7" ht="14.25" customHeight="1">
      <c r="A950" s="45">
        <v>943</v>
      </c>
      <c r="B950" s="42" t="s">
        <v>114</v>
      </c>
      <c r="C950" s="44" t="s">
        <v>1179</v>
      </c>
      <c r="D950" s="276" t="s">
        <v>3437</v>
      </c>
      <c r="E950" s="28" t="s">
        <v>1358</v>
      </c>
      <c r="F950" s="28" t="s">
        <v>1367</v>
      </c>
      <c r="G950" s="28" t="s">
        <v>96</v>
      </c>
    </row>
    <row r="951" spans="1:7" ht="14.25" customHeight="1">
      <c r="A951" s="45">
        <v>944</v>
      </c>
      <c r="B951" s="44" t="s">
        <v>637</v>
      </c>
      <c r="C951" s="59" t="s">
        <v>2670</v>
      </c>
      <c r="D951" s="276" t="s">
        <v>3469</v>
      </c>
      <c r="E951" s="28" t="s">
        <v>1358</v>
      </c>
      <c r="F951" s="28" t="s">
        <v>1367</v>
      </c>
      <c r="G951" s="28" t="s">
        <v>96</v>
      </c>
    </row>
    <row r="952" spans="1:7" ht="14.25" customHeight="1">
      <c r="A952" s="45">
        <v>945</v>
      </c>
      <c r="B952" s="42" t="s">
        <v>101</v>
      </c>
      <c r="C952" s="44" t="s">
        <v>1178</v>
      </c>
      <c r="D952" s="276" t="s">
        <v>3436</v>
      </c>
      <c r="E952" s="28" t="s">
        <v>1358</v>
      </c>
      <c r="F952" s="28" t="s">
        <v>1367</v>
      </c>
      <c r="G952" s="28" t="s">
        <v>96</v>
      </c>
    </row>
    <row r="953" spans="1:7" ht="14.25" customHeight="1">
      <c r="A953" s="45">
        <v>946</v>
      </c>
      <c r="B953" s="42" t="s">
        <v>104</v>
      </c>
      <c r="C953" s="44" t="s">
        <v>1183</v>
      </c>
      <c r="D953" s="276" t="s">
        <v>3440</v>
      </c>
      <c r="E953" s="28" t="s">
        <v>1358</v>
      </c>
      <c r="F953" s="28" t="s">
        <v>1367</v>
      </c>
      <c r="G953" s="28" t="s">
        <v>96</v>
      </c>
    </row>
    <row r="954" spans="1:7" ht="14.25" customHeight="1">
      <c r="A954" s="45">
        <v>947</v>
      </c>
      <c r="B954" s="42" t="s">
        <v>113</v>
      </c>
      <c r="C954" s="44" t="s">
        <v>113</v>
      </c>
      <c r="D954" s="276" t="s">
        <v>3447</v>
      </c>
      <c r="E954" s="28" t="s">
        <v>1358</v>
      </c>
      <c r="F954" s="28" t="s">
        <v>1367</v>
      </c>
      <c r="G954" s="28" t="s">
        <v>96</v>
      </c>
    </row>
    <row r="955" spans="1:7" ht="14.25" customHeight="1">
      <c r="A955" s="45">
        <v>948</v>
      </c>
      <c r="B955" s="42" t="s">
        <v>116</v>
      </c>
      <c r="C955" s="44" t="s">
        <v>1197</v>
      </c>
      <c r="D955" s="276" t="s">
        <v>3452</v>
      </c>
      <c r="E955" s="28" t="s">
        <v>1358</v>
      </c>
      <c r="F955" s="28" t="s">
        <v>1367</v>
      </c>
      <c r="G955" s="28" t="s">
        <v>96</v>
      </c>
    </row>
    <row r="956" spans="1:7" ht="14.25" customHeight="1">
      <c r="A956" s="45">
        <v>949</v>
      </c>
      <c r="B956" s="42" t="s">
        <v>103</v>
      </c>
      <c r="C956" s="44" t="s">
        <v>1182</v>
      </c>
      <c r="D956" s="276" t="s">
        <v>3439</v>
      </c>
      <c r="E956" s="28" t="s">
        <v>1358</v>
      </c>
      <c r="F956" s="28" t="s">
        <v>1367</v>
      </c>
      <c r="G956" s="28" t="s">
        <v>96</v>
      </c>
    </row>
    <row r="957" spans="1:7" ht="14.25" customHeight="1">
      <c r="A957" s="45">
        <v>950</v>
      </c>
      <c r="B957" s="42" t="s">
        <v>1198</v>
      </c>
      <c r="C957" s="44" t="s">
        <v>1199</v>
      </c>
      <c r="D957" s="276" t="s">
        <v>3453</v>
      </c>
      <c r="E957" s="28" t="s">
        <v>1358</v>
      </c>
      <c r="F957" s="28" t="s">
        <v>1367</v>
      </c>
      <c r="G957" s="28" t="s">
        <v>96</v>
      </c>
    </row>
    <row r="958" spans="1:7" ht="14.25" customHeight="1">
      <c r="A958" s="45">
        <v>951</v>
      </c>
      <c r="B958" s="42" t="s">
        <v>99</v>
      </c>
      <c r="C958" s="44" t="s">
        <v>1177</v>
      </c>
      <c r="D958" s="276" t="s">
        <v>3435</v>
      </c>
      <c r="E958" s="28" t="s">
        <v>1358</v>
      </c>
      <c r="F958" s="28" t="s">
        <v>1367</v>
      </c>
      <c r="G958" s="28" t="s">
        <v>1373</v>
      </c>
    </row>
    <row r="959" spans="1:7" ht="14.25" customHeight="1">
      <c r="A959" s="45">
        <v>952</v>
      </c>
      <c r="B959" s="42" t="s">
        <v>1192</v>
      </c>
      <c r="C959" s="44" t="s">
        <v>1193</v>
      </c>
      <c r="D959" s="276" t="s">
        <v>3449</v>
      </c>
      <c r="E959" s="28" t="s">
        <v>1358</v>
      </c>
      <c r="F959" s="28" t="s">
        <v>1367</v>
      </c>
      <c r="G959" s="28" t="s">
        <v>96</v>
      </c>
    </row>
    <row r="960" spans="1:7" ht="14.25" customHeight="1">
      <c r="A960" s="45">
        <v>953</v>
      </c>
      <c r="B960" s="42" t="s">
        <v>111</v>
      </c>
      <c r="C960" s="44" t="s">
        <v>1190</v>
      </c>
      <c r="D960" s="276" t="s">
        <v>3446</v>
      </c>
      <c r="E960" s="28" t="s">
        <v>1358</v>
      </c>
      <c r="F960" s="28" t="s">
        <v>1367</v>
      </c>
      <c r="G960" s="28" t="s">
        <v>96</v>
      </c>
    </row>
    <row r="961" spans="1:7" ht="14.25" customHeight="1">
      <c r="A961" s="45">
        <v>954</v>
      </c>
      <c r="B961" s="42" t="s">
        <v>100</v>
      </c>
      <c r="C961" s="44" t="s">
        <v>1176</v>
      </c>
      <c r="D961" s="59" t="s">
        <v>4249</v>
      </c>
      <c r="E961" s="28" t="s">
        <v>1358</v>
      </c>
      <c r="F961" s="28" t="s">
        <v>1367</v>
      </c>
      <c r="G961" s="28" t="s">
        <v>1373</v>
      </c>
    </row>
    <row r="962" spans="1:7" ht="14.25" customHeight="1">
      <c r="A962" s="45">
        <v>955</v>
      </c>
      <c r="B962" s="42" t="s">
        <v>1232</v>
      </c>
      <c r="C962" s="44" t="s">
        <v>1233</v>
      </c>
      <c r="D962" s="276" t="s">
        <v>3457</v>
      </c>
      <c r="E962" s="28" t="s">
        <v>1358</v>
      </c>
      <c r="F962" s="28" t="s">
        <v>1367</v>
      </c>
      <c r="G962" s="28" t="s">
        <v>1375</v>
      </c>
    </row>
    <row r="963" spans="1:7" ht="14.25" customHeight="1">
      <c r="A963" s="45">
        <v>956</v>
      </c>
      <c r="B963" s="42" t="s">
        <v>1188</v>
      </c>
      <c r="C963" s="44" t="s">
        <v>1189</v>
      </c>
      <c r="D963" s="276" t="s">
        <v>3445</v>
      </c>
      <c r="E963" s="28" t="s">
        <v>1358</v>
      </c>
      <c r="F963" s="28" t="s">
        <v>1367</v>
      </c>
      <c r="G963" s="28" t="s">
        <v>96</v>
      </c>
    </row>
    <row r="964" spans="1:7" ht="14.25" customHeight="1">
      <c r="A964" s="45">
        <v>957</v>
      </c>
      <c r="B964" s="42" t="s">
        <v>117</v>
      </c>
      <c r="C964" s="44" t="s">
        <v>1196</v>
      </c>
      <c r="D964" s="276" t="s">
        <v>3451</v>
      </c>
      <c r="E964" s="28" t="s">
        <v>1358</v>
      </c>
      <c r="F964" s="28" t="s">
        <v>1367</v>
      </c>
      <c r="G964" s="28" t="s">
        <v>96</v>
      </c>
    </row>
    <row r="965" spans="1:7" ht="14.25" customHeight="1">
      <c r="A965" s="45">
        <v>958</v>
      </c>
      <c r="B965" s="42" t="s">
        <v>112</v>
      </c>
      <c r="C965" s="44" t="s">
        <v>1191</v>
      </c>
      <c r="D965" s="276" t="s">
        <v>3448</v>
      </c>
      <c r="E965" s="28" t="s">
        <v>1358</v>
      </c>
      <c r="F965" s="28" t="s">
        <v>1367</v>
      </c>
      <c r="G965" s="28" t="s">
        <v>96</v>
      </c>
    </row>
    <row r="966" spans="1:7" ht="14.25" customHeight="1">
      <c r="A966" s="45">
        <v>959</v>
      </c>
      <c r="B966" s="44" t="s">
        <v>494</v>
      </c>
      <c r="C966" s="42" t="s">
        <v>2668</v>
      </c>
      <c r="D966" s="276" t="s">
        <v>3467</v>
      </c>
      <c r="E966" s="28" t="s">
        <v>1358</v>
      </c>
      <c r="F966" s="28" t="s">
        <v>1367</v>
      </c>
      <c r="G966" s="28" t="s">
        <v>96</v>
      </c>
    </row>
    <row r="967" spans="1:7" ht="14.25" customHeight="1">
      <c r="A967" s="45">
        <v>960</v>
      </c>
      <c r="B967" s="44" t="s">
        <v>638</v>
      </c>
      <c r="C967" s="42" t="s">
        <v>2669</v>
      </c>
      <c r="D967" s="276" t="s">
        <v>3468</v>
      </c>
      <c r="E967" s="28" t="s">
        <v>1358</v>
      </c>
      <c r="F967" s="28" t="s">
        <v>1367</v>
      </c>
      <c r="G967" s="28" t="s">
        <v>96</v>
      </c>
    </row>
    <row r="968" spans="1:7" ht="14.25" customHeight="1">
      <c r="A968" s="45">
        <v>961</v>
      </c>
      <c r="B968" s="42" t="s">
        <v>108</v>
      </c>
      <c r="C968" s="44" t="s">
        <v>1186</v>
      </c>
      <c r="D968" s="276" t="s">
        <v>3443</v>
      </c>
      <c r="E968" s="28" t="s">
        <v>1358</v>
      </c>
      <c r="F968" s="28" t="s">
        <v>1367</v>
      </c>
      <c r="G968" s="28" t="s">
        <v>96</v>
      </c>
    </row>
    <row r="969" spans="1:7" ht="14.25" customHeight="1">
      <c r="A969" s="45">
        <v>962</v>
      </c>
      <c r="B969" s="44" t="s">
        <v>626</v>
      </c>
      <c r="C969" s="42" t="s">
        <v>2667</v>
      </c>
      <c r="D969" s="276" t="s">
        <v>3466</v>
      </c>
      <c r="E969" s="28" t="s">
        <v>1358</v>
      </c>
      <c r="F969" s="28" t="s">
        <v>1367</v>
      </c>
      <c r="G969" s="28" t="s">
        <v>1373</v>
      </c>
    </row>
    <row r="970" spans="1:7" ht="14.25" customHeight="1">
      <c r="A970" s="45">
        <v>963</v>
      </c>
      <c r="B970" s="42" t="s">
        <v>118</v>
      </c>
      <c r="C970" s="44" t="s">
        <v>1237</v>
      </c>
      <c r="D970" s="276" t="s">
        <v>3462</v>
      </c>
      <c r="E970" s="28" t="s">
        <v>1358</v>
      </c>
      <c r="F970" s="28" t="s">
        <v>1367</v>
      </c>
      <c r="G970" s="28" t="s">
        <v>96</v>
      </c>
    </row>
    <row r="971" spans="1:7" ht="14.25" customHeight="1">
      <c r="A971" s="45">
        <v>964</v>
      </c>
      <c r="B971" s="42" t="s">
        <v>109</v>
      </c>
      <c r="C971" s="44" t="s">
        <v>1187</v>
      </c>
      <c r="D971" s="276" t="s">
        <v>3444</v>
      </c>
      <c r="E971" s="28" t="s">
        <v>1358</v>
      </c>
      <c r="F971" s="28" t="s">
        <v>1367</v>
      </c>
      <c r="G971" s="28" t="s">
        <v>96</v>
      </c>
    </row>
    <row r="972" spans="1:7" ht="14.25" customHeight="1">
      <c r="A972" s="45">
        <v>965</v>
      </c>
      <c r="B972" s="42" t="s">
        <v>121</v>
      </c>
      <c r="C972" s="44" t="s">
        <v>1202</v>
      </c>
      <c r="D972" s="276" t="s">
        <v>3456</v>
      </c>
      <c r="E972" s="28" t="s">
        <v>1358</v>
      </c>
      <c r="F972" s="28" t="s">
        <v>1367</v>
      </c>
      <c r="G972" s="28" t="s">
        <v>96</v>
      </c>
    </row>
    <row r="973" spans="1:7" ht="14.25" customHeight="1">
      <c r="A973" s="45">
        <v>966</v>
      </c>
      <c r="B973" s="42" t="s">
        <v>120</v>
      </c>
      <c r="C973" s="44" t="s">
        <v>1201</v>
      </c>
      <c r="D973" s="276" t="s">
        <v>3455</v>
      </c>
      <c r="E973" s="28" t="s">
        <v>1358</v>
      </c>
      <c r="F973" s="28" t="s">
        <v>1367</v>
      </c>
      <c r="G973" s="28" t="s">
        <v>96</v>
      </c>
    </row>
    <row r="974" spans="1:7" ht="14.25" customHeight="1">
      <c r="A974" s="45">
        <v>967</v>
      </c>
      <c r="B974" s="42" t="s">
        <v>102</v>
      </c>
      <c r="C974" s="56" t="s">
        <v>2791</v>
      </c>
      <c r="D974" s="276" t="s">
        <v>3458</v>
      </c>
      <c r="E974" s="28" t="s">
        <v>1358</v>
      </c>
      <c r="F974" s="28" t="s">
        <v>1367</v>
      </c>
      <c r="G974" s="28" t="s">
        <v>96</v>
      </c>
    </row>
    <row r="975" spans="1:7" ht="14.25" customHeight="1">
      <c r="A975" s="45">
        <v>968</v>
      </c>
      <c r="B975" s="42" t="s">
        <v>115</v>
      </c>
      <c r="C975" s="44" t="s">
        <v>1236</v>
      </c>
      <c r="D975" s="276" t="s">
        <v>3461</v>
      </c>
      <c r="E975" s="28" t="s">
        <v>1358</v>
      </c>
      <c r="F975" s="28" t="s">
        <v>1367</v>
      </c>
      <c r="G975" s="28" t="s">
        <v>96</v>
      </c>
    </row>
    <row r="976" spans="1:7" ht="14.25" customHeight="1">
      <c r="A976" s="45">
        <v>969</v>
      </c>
      <c r="B976" s="42" t="s">
        <v>107</v>
      </c>
      <c r="C976" s="44" t="s">
        <v>1235</v>
      </c>
      <c r="D976" s="276" t="s">
        <v>3460</v>
      </c>
      <c r="E976" s="28" t="s">
        <v>1358</v>
      </c>
      <c r="F976" s="28" t="s">
        <v>1367</v>
      </c>
      <c r="G976" s="28" t="s">
        <v>96</v>
      </c>
    </row>
    <row r="977" spans="1:7" ht="14.25" customHeight="1">
      <c r="A977" s="45">
        <v>970</v>
      </c>
      <c r="B977" s="42" t="s">
        <v>110</v>
      </c>
      <c r="C977" s="44" t="s">
        <v>1200</v>
      </c>
      <c r="D977" s="276" t="s">
        <v>3454</v>
      </c>
      <c r="E977" s="28" t="s">
        <v>1358</v>
      </c>
      <c r="F977" s="28" t="s">
        <v>1367</v>
      </c>
      <c r="G977" s="28" t="s">
        <v>96</v>
      </c>
    </row>
    <row r="978" spans="1:7" ht="14.25" customHeight="1">
      <c r="A978" s="45">
        <v>971</v>
      </c>
      <c r="B978" s="42" t="s">
        <v>122</v>
      </c>
      <c r="C978" s="44" t="s">
        <v>1240</v>
      </c>
      <c r="D978" s="276" t="s">
        <v>3464</v>
      </c>
      <c r="E978" s="28" t="s">
        <v>1358</v>
      </c>
      <c r="F978" s="28" t="s">
        <v>1367</v>
      </c>
      <c r="G978" s="28" t="s">
        <v>96</v>
      </c>
    </row>
    <row r="979" spans="1:7" ht="14.25" customHeight="1">
      <c r="A979" s="45">
        <v>972</v>
      </c>
      <c r="B979" s="42" t="s">
        <v>1194</v>
      </c>
      <c r="C979" s="44" t="s">
        <v>1195</v>
      </c>
      <c r="D979" s="276" t="s">
        <v>3450</v>
      </c>
      <c r="E979" s="28" t="s">
        <v>1358</v>
      </c>
      <c r="F979" s="28" t="s">
        <v>1367</v>
      </c>
      <c r="G979" s="28" t="s">
        <v>96</v>
      </c>
    </row>
    <row r="980" spans="1:7" ht="14.25" customHeight="1">
      <c r="A980" s="45">
        <v>973</v>
      </c>
      <c r="B980" s="42" t="s">
        <v>1180</v>
      </c>
      <c r="C980" s="44" t="s">
        <v>1181</v>
      </c>
      <c r="D980" s="276" t="s">
        <v>3438</v>
      </c>
      <c r="E980" s="28" t="s">
        <v>1358</v>
      </c>
      <c r="F980" s="28" t="s">
        <v>1367</v>
      </c>
      <c r="G980" s="28" t="s">
        <v>96</v>
      </c>
    </row>
    <row r="981" spans="1:7" ht="14.25" customHeight="1">
      <c r="A981" s="45">
        <v>974</v>
      </c>
      <c r="B981" s="43" t="s">
        <v>625</v>
      </c>
      <c r="C981" s="42" t="s">
        <v>2666</v>
      </c>
      <c r="D981" s="276" t="s">
        <v>3465</v>
      </c>
      <c r="E981" s="28" t="s">
        <v>1358</v>
      </c>
      <c r="F981" s="28" t="s">
        <v>1367</v>
      </c>
      <c r="G981" s="28" t="s">
        <v>1373</v>
      </c>
    </row>
    <row r="982" spans="1:7" ht="14.25" customHeight="1">
      <c r="A982" s="45">
        <v>975</v>
      </c>
      <c r="B982" s="59" t="s">
        <v>6057</v>
      </c>
      <c r="C982" s="59" t="s">
        <v>6055</v>
      </c>
      <c r="D982" s="59" t="s">
        <v>6056</v>
      </c>
      <c r="E982" s="28" t="s">
        <v>1358</v>
      </c>
      <c r="F982" s="28" t="s">
        <v>1367</v>
      </c>
      <c r="G982" s="28" t="s">
        <v>1373</v>
      </c>
    </row>
    <row r="983" spans="1:7" ht="14.25" customHeight="1">
      <c r="A983" s="45">
        <v>976</v>
      </c>
      <c r="B983" s="42" t="s">
        <v>1238</v>
      </c>
      <c r="C983" s="44" t="s">
        <v>1239</v>
      </c>
      <c r="D983" s="276" t="s">
        <v>3463</v>
      </c>
      <c r="E983" s="28" t="s">
        <v>1358</v>
      </c>
      <c r="F983" s="28" t="s">
        <v>1367</v>
      </c>
      <c r="G983" s="28" t="s">
        <v>96</v>
      </c>
    </row>
    <row r="984" spans="1:7" ht="14.25" customHeight="1">
      <c r="A984" s="45">
        <v>977</v>
      </c>
      <c r="B984" s="42" t="s">
        <v>119</v>
      </c>
      <c r="C984" s="44" t="s">
        <v>1185</v>
      </c>
      <c r="D984" s="276" t="s">
        <v>3442</v>
      </c>
      <c r="E984" s="28" t="s">
        <v>1358</v>
      </c>
      <c r="F984" s="28" t="s">
        <v>1367</v>
      </c>
      <c r="G984" s="28" t="s">
        <v>96</v>
      </c>
    </row>
    <row r="985" spans="1:7" ht="14.25" customHeight="1">
      <c r="A985" s="45">
        <v>978</v>
      </c>
      <c r="B985" s="42" t="s">
        <v>105</v>
      </c>
      <c r="C985" s="44" t="s">
        <v>1184</v>
      </c>
      <c r="D985" s="276" t="s">
        <v>3441</v>
      </c>
      <c r="E985" s="28" t="s">
        <v>1358</v>
      </c>
      <c r="F985" s="28" t="s">
        <v>1367</v>
      </c>
      <c r="G985" s="28" t="s">
        <v>96</v>
      </c>
    </row>
    <row r="986" spans="1:7" ht="14.25" customHeight="1">
      <c r="A986" s="45">
        <v>979</v>
      </c>
      <c r="B986" s="42" t="s">
        <v>106</v>
      </c>
      <c r="C986" s="44" t="s">
        <v>1234</v>
      </c>
      <c r="D986" s="276" t="s">
        <v>3459</v>
      </c>
      <c r="E986" s="28" t="s">
        <v>1358</v>
      </c>
      <c r="F986" s="28" t="s">
        <v>1367</v>
      </c>
      <c r="G986" s="28" t="s">
        <v>96</v>
      </c>
    </row>
    <row r="987" spans="1:7" ht="14.25" customHeight="1">
      <c r="A987" s="45">
        <v>980</v>
      </c>
      <c r="B987" s="316" t="s">
        <v>4048</v>
      </c>
      <c r="C987" s="55" t="s">
        <v>4046</v>
      </c>
      <c r="D987" s="577" t="s">
        <v>5214</v>
      </c>
      <c r="E987" s="174" t="s">
        <v>2703</v>
      </c>
      <c r="F987" s="174" t="s">
        <v>2704</v>
      </c>
      <c r="G987" s="174" t="s">
        <v>26</v>
      </c>
    </row>
    <row r="988" spans="1:7" ht="14.25" customHeight="1">
      <c r="A988" s="45">
        <v>981</v>
      </c>
      <c r="B988" s="316" t="s">
        <v>4067</v>
      </c>
      <c r="C988" s="55" t="s">
        <v>4068</v>
      </c>
      <c r="D988" s="577" t="s">
        <v>5225</v>
      </c>
      <c r="E988" s="174" t="s">
        <v>2703</v>
      </c>
      <c r="F988" s="174" t="s">
        <v>2704</v>
      </c>
      <c r="G988" s="174" t="s">
        <v>26</v>
      </c>
    </row>
    <row r="989" spans="1:7" ht="14.25" customHeight="1">
      <c r="A989" s="45">
        <v>982</v>
      </c>
      <c r="B989" s="316" t="s">
        <v>4065</v>
      </c>
      <c r="C989" s="55" t="s">
        <v>4066</v>
      </c>
      <c r="D989" s="577" t="s">
        <v>5223</v>
      </c>
      <c r="E989" s="174" t="s">
        <v>2703</v>
      </c>
      <c r="F989" s="174" t="s">
        <v>2704</v>
      </c>
      <c r="G989" s="174" t="s">
        <v>26</v>
      </c>
    </row>
    <row r="990" spans="1:7" ht="14.25" customHeight="1">
      <c r="A990" s="45">
        <v>983</v>
      </c>
      <c r="B990" s="199" t="s">
        <v>2679</v>
      </c>
      <c r="C990" s="200" t="s">
        <v>2812</v>
      </c>
      <c r="D990" s="577" t="s">
        <v>5215</v>
      </c>
      <c r="E990" s="174" t="s">
        <v>2703</v>
      </c>
      <c r="F990" s="174" t="s">
        <v>2704</v>
      </c>
      <c r="G990" s="174" t="s">
        <v>26</v>
      </c>
    </row>
    <row r="991" spans="1:7" ht="14.25" customHeight="1">
      <c r="A991" s="45">
        <v>984</v>
      </c>
      <c r="B991" s="199" t="s">
        <v>2681</v>
      </c>
      <c r="C991" s="200" t="s">
        <v>2708</v>
      </c>
      <c r="D991" s="577" t="s">
        <v>5211</v>
      </c>
      <c r="E991" s="174" t="s">
        <v>2703</v>
      </c>
      <c r="F991" s="174" t="s">
        <v>2704</v>
      </c>
      <c r="G991" s="174" t="s">
        <v>2705</v>
      </c>
    </row>
    <row r="992" spans="1:7" ht="14.25" customHeight="1">
      <c r="A992" s="45">
        <v>985</v>
      </c>
      <c r="B992" s="199" t="s">
        <v>2683</v>
      </c>
      <c r="C992" s="200" t="s">
        <v>2710</v>
      </c>
      <c r="D992" s="577" t="s">
        <v>5224</v>
      </c>
      <c r="E992" s="174" t="s">
        <v>2703</v>
      </c>
      <c r="F992" s="174" t="s">
        <v>2704</v>
      </c>
      <c r="G992" s="174" t="s">
        <v>2705</v>
      </c>
    </row>
    <row r="993" spans="1:7" ht="14.25" customHeight="1">
      <c r="A993" s="45">
        <v>986</v>
      </c>
      <c r="B993" s="316" t="s">
        <v>4047</v>
      </c>
      <c r="C993" s="55" t="s">
        <v>4045</v>
      </c>
      <c r="D993" s="577" t="s">
        <v>5218</v>
      </c>
      <c r="E993" s="174" t="s">
        <v>2703</v>
      </c>
      <c r="F993" s="174" t="s">
        <v>2704</v>
      </c>
      <c r="G993" s="174" t="s">
        <v>26</v>
      </c>
    </row>
    <row r="994" spans="1:7" ht="14.25" customHeight="1">
      <c r="A994" s="45">
        <v>987</v>
      </c>
      <c r="B994" s="199" t="s">
        <v>2680</v>
      </c>
      <c r="C994" s="200" t="s">
        <v>2707</v>
      </c>
      <c r="D994" s="577" t="s">
        <v>5212</v>
      </c>
      <c r="E994" s="174" t="s">
        <v>2703</v>
      </c>
      <c r="F994" s="174" t="s">
        <v>2704</v>
      </c>
      <c r="G994" s="174" t="s">
        <v>2705</v>
      </c>
    </row>
    <row r="995" spans="1:7" ht="14.25" customHeight="1">
      <c r="A995" s="45">
        <v>988</v>
      </c>
      <c r="B995" s="199" t="s">
        <v>1731</v>
      </c>
      <c r="C995" s="200" t="s">
        <v>2706</v>
      </c>
      <c r="D995" s="577" t="s">
        <v>5222</v>
      </c>
      <c r="E995" s="174" t="s">
        <v>2703</v>
      </c>
      <c r="F995" s="174" t="s">
        <v>2704</v>
      </c>
      <c r="G995" s="174" t="s">
        <v>2705</v>
      </c>
    </row>
    <row r="996" spans="1:7" ht="14.25" customHeight="1">
      <c r="A996" s="45">
        <v>989</v>
      </c>
      <c r="B996" s="316" t="s">
        <v>4071</v>
      </c>
      <c r="C996" s="55" t="s">
        <v>4072</v>
      </c>
      <c r="D996" s="577" t="s">
        <v>5208</v>
      </c>
      <c r="E996" s="174" t="s">
        <v>2703</v>
      </c>
      <c r="F996" s="174" t="s">
        <v>2704</v>
      </c>
      <c r="G996" s="174" t="s">
        <v>26</v>
      </c>
    </row>
    <row r="997" spans="1:7" ht="14.25" customHeight="1">
      <c r="A997" s="45">
        <v>990</v>
      </c>
      <c r="B997" s="199" t="s">
        <v>2682</v>
      </c>
      <c r="C997" s="200" t="s">
        <v>2709</v>
      </c>
      <c r="D997" s="55" t="s">
        <v>5221</v>
      </c>
      <c r="E997" s="174" t="s">
        <v>2703</v>
      </c>
      <c r="F997" s="174" t="s">
        <v>2704</v>
      </c>
      <c r="G997" s="174" t="s">
        <v>2705</v>
      </c>
    </row>
    <row r="998" spans="1:7" ht="14.25" customHeight="1">
      <c r="A998" s="45">
        <v>991</v>
      </c>
      <c r="B998" s="316" t="s">
        <v>4041</v>
      </c>
      <c r="C998" s="55" t="s">
        <v>4042</v>
      </c>
      <c r="D998" s="577" t="s">
        <v>5219</v>
      </c>
      <c r="E998" s="174" t="s">
        <v>2703</v>
      </c>
      <c r="F998" s="174" t="s">
        <v>2704</v>
      </c>
      <c r="G998" s="174" t="s">
        <v>2617</v>
      </c>
    </row>
    <row r="999" spans="1:7" ht="14.25" customHeight="1">
      <c r="A999" s="45">
        <v>992</v>
      </c>
      <c r="B999" s="187" t="s">
        <v>2692</v>
      </c>
      <c r="C999" s="176" t="s">
        <v>2716</v>
      </c>
      <c r="D999" s="176" t="s">
        <v>2712</v>
      </c>
      <c r="E999" s="174" t="s">
        <v>2713</v>
      </c>
      <c r="F999" s="174" t="s">
        <v>2714</v>
      </c>
      <c r="G999" s="174" t="s">
        <v>2715</v>
      </c>
    </row>
    <row r="1000" spans="1:7" ht="14.25" customHeight="1">
      <c r="A1000" s="45">
        <v>993</v>
      </c>
      <c r="B1000" s="187" t="s">
        <v>2690</v>
      </c>
      <c r="C1000" s="201" t="s">
        <v>2803</v>
      </c>
      <c r="D1000" s="578" t="s">
        <v>5228</v>
      </c>
      <c r="E1000" s="174" t="s">
        <v>2713</v>
      </c>
      <c r="F1000" s="174" t="s">
        <v>2714</v>
      </c>
      <c r="G1000" s="174" t="s">
        <v>2715</v>
      </c>
    </row>
    <row r="1001" spans="1:7" ht="14.25" customHeight="1">
      <c r="A1001" s="45">
        <v>994</v>
      </c>
      <c r="B1001" s="187" t="s">
        <v>2693</v>
      </c>
      <c r="C1001" s="201" t="s">
        <v>2717</v>
      </c>
      <c r="D1001" s="578" t="s">
        <v>5197</v>
      </c>
      <c r="E1001" s="174" t="s">
        <v>2713</v>
      </c>
      <c r="F1001" s="174" t="s">
        <v>2714</v>
      </c>
      <c r="G1001" s="174" t="s">
        <v>2715</v>
      </c>
    </row>
    <row r="1002" spans="1:7" ht="14.25" customHeight="1">
      <c r="A1002" s="45">
        <v>995</v>
      </c>
      <c r="B1002" s="187" t="s">
        <v>2685</v>
      </c>
      <c r="C1002" s="201" t="s">
        <v>2793</v>
      </c>
      <c r="D1002" s="578" t="s">
        <v>5205</v>
      </c>
      <c r="E1002" s="174" t="s">
        <v>2703</v>
      </c>
      <c r="F1002" s="174" t="s">
        <v>2704</v>
      </c>
      <c r="G1002" s="174" t="s">
        <v>2711</v>
      </c>
    </row>
    <row r="1003" spans="1:7" ht="14.25" customHeight="1">
      <c r="A1003" s="45">
        <v>996</v>
      </c>
      <c r="B1003" s="187" t="s">
        <v>2691</v>
      </c>
      <c r="C1003" s="201" t="s">
        <v>2804</v>
      </c>
      <c r="D1003" s="578" t="s">
        <v>5198</v>
      </c>
      <c r="E1003" s="174" t="s">
        <v>2713</v>
      </c>
      <c r="F1003" s="174" t="s">
        <v>2714</v>
      </c>
      <c r="G1003" s="174" t="s">
        <v>2715</v>
      </c>
    </row>
    <row r="1004" spans="1:7" ht="14.25" customHeight="1">
      <c r="A1004" s="45">
        <v>997</v>
      </c>
      <c r="B1004" s="187" t="s">
        <v>2688</v>
      </c>
      <c r="C1004" s="201" t="s">
        <v>2792</v>
      </c>
      <c r="D1004" s="578" t="s">
        <v>5201</v>
      </c>
      <c r="E1004" s="174" t="s">
        <v>2713</v>
      </c>
      <c r="F1004" s="174" t="s">
        <v>2714</v>
      </c>
      <c r="G1004" s="174" t="s">
        <v>2715</v>
      </c>
    </row>
    <row r="1005" spans="1:7" ht="14.25" customHeight="1">
      <c r="A1005" s="45">
        <v>998</v>
      </c>
      <c r="B1005" s="187" t="s">
        <v>2687</v>
      </c>
      <c r="C1005" s="201" t="s">
        <v>2798</v>
      </c>
      <c r="D1005" s="578" t="s">
        <v>5200</v>
      </c>
      <c r="E1005" s="174" t="s">
        <v>2713</v>
      </c>
      <c r="F1005" s="174" t="s">
        <v>2714</v>
      </c>
      <c r="G1005" s="174" t="s">
        <v>2715</v>
      </c>
    </row>
    <row r="1006" spans="1:7" ht="14.25" customHeight="1">
      <c r="A1006" s="45">
        <v>999</v>
      </c>
      <c r="B1006" s="209" t="s">
        <v>2799</v>
      </c>
      <c r="C1006" s="201" t="s">
        <v>2800</v>
      </c>
      <c r="D1006" s="578" t="s">
        <v>5202</v>
      </c>
      <c r="E1006" s="174" t="s">
        <v>2713</v>
      </c>
      <c r="F1006" s="174" t="s">
        <v>2714</v>
      </c>
      <c r="G1006" s="174" t="s">
        <v>2715</v>
      </c>
    </row>
    <row r="1007" spans="1:7" ht="14.25" customHeight="1">
      <c r="A1007" s="45">
        <v>1000</v>
      </c>
      <c r="B1007" s="187" t="s">
        <v>2689</v>
      </c>
      <c r="C1007" s="201" t="s">
        <v>2802</v>
      </c>
      <c r="D1007" s="578" t="s">
        <v>5206</v>
      </c>
      <c r="E1007" s="174" t="s">
        <v>2713</v>
      </c>
      <c r="F1007" s="174" t="s">
        <v>2714</v>
      </c>
      <c r="G1007" s="174" t="s">
        <v>2715</v>
      </c>
    </row>
    <row r="1008" spans="1:7" ht="14.25" customHeight="1">
      <c r="A1008" s="45">
        <v>1001</v>
      </c>
      <c r="B1008" s="209" t="s">
        <v>6048</v>
      </c>
      <c r="C1008" s="209" t="s">
        <v>6049</v>
      </c>
      <c r="D1008" s="209" t="s">
        <v>6050</v>
      </c>
      <c r="E1008" s="174" t="s">
        <v>2703</v>
      </c>
      <c r="F1008" s="174" t="s">
        <v>2704</v>
      </c>
      <c r="G1008" s="174" t="s">
        <v>0</v>
      </c>
    </row>
    <row r="1009" spans="1:7" ht="14.25" customHeight="1">
      <c r="A1009" s="45">
        <v>1002</v>
      </c>
      <c r="B1009" s="187" t="s">
        <v>2686</v>
      </c>
      <c r="C1009" s="201" t="s">
        <v>2801</v>
      </c>
      <c r="D1009" s="578" t="s">
        <v>5207</v>
      </c>
      <c r="E1009" s="174" t="s">
        <v>2703</v>
      </c>
      <c r="F1009" s="174" t="s">
        <v>2704</v>
      </c>
      <c r="G1009" s="174" t="s">
        <v>2711</v>
      </c>
    </row>
    <row r="1010" spans="1:7" ht="14.25" customHeight="1">
      <c r="A1010" s="45">
        <v>1003</v>
      </c>
      <c r="B1010" s="263" t="s">
        <v>2698</v>
      </c>
      <c r="C1010" s="264" t="s">
        <v>2722</v>
      </c>
      <c r="D1010" s="255" t="s">
        <v>2712</v>
      </c>
      <c r="E1010" s="174" t="s">
        <v>2713</v>
      </c>
      <c r="F1010" s="174" t="s">
        <v>2714</v>
      </c>
      <c r="G1010" s="174" t="s">
        <v>2719</v>
      </c>
    </row>
    <row r="1011" spans="1:7" ht="14.25" customHeight="1">
      <c r="A1011" s="45">
        <v>1004</v>
      </c>
      <c r="B1011" s="263" t="s">
        <v>2701</v>
      </c>
      <c r="C1011" s="264" t="s">
        <v>2725</v>
      </c>
      <c r="D1011" s="579" t="s">
        <v>5232</v>
      </c>
      <c r="E1011" s="174" t="s">
        <v>2713</v>
      </c>
      <c r="F1011" s="174" t="s">
        <v>2714</v>
      </c>
      <c r="G1011" s="174" t="s">
        <v>2719</v>
      </c>
    </row>
    <row r="1012" spans="1:7" ht="14.25" customHeight="1">
      <c r="A1012" s="45">
        <v>1005</v>
      </c>
      <c r="B1012" s="263" t="s">
        <v>2700</v>
      </c>
      <c r="C1012" s="264" t="s">
        <v>2724</v>
      </c>
      <c r="D1012" s="579" t="s">
        <v>5231</v>
      </c>
      <c r="E1012" s="174" t="s">
        <v>2713</v>
      </c>
      <c r="F1012" s="174" t="s">
        <v>2714</v>
      </c>
      <c r="G1012" s="174" t="s">
        <v>2719</v>
      </c>
    </row>
    <row r="1013" spans="1:7" ht="14.25" customHeight="1">
      <c r="A1013" s="45">
        <v>1006</v>
      </c>
      <c r="B1013" s="263" t="s">
        <v>2697</v>
      </c>
      <c r="C1013" s="264" t="s">
        <v>2721</v>
      </c>
      <c r="D1013" s="579" t="s">
        <v>5237</v>
      </c>
      <c r="E1013" s="174" t="s">
        <v>2713</v>
      </c>
      <c r="F1013" s="174" t="s">
        <v>2714</v>
      </c>
      <c r="G1013" s="174" t="s">
        <v>2719</v>
      </c>
    </row>
    <row r="1014" spans="1:7" ht="14.25" customHeight="1">
      <c r="A1014" s="45">
        <v>1007</v>
      </c>
      <c r="B1014" s="263" t="s">
        <v>2695</v>
      </c>
      <c r="C1014" s="264" t="s">
        <v>2718</v>
      </c>
      <c r="D1014" s="579" t="s">
        <v>5235</v>
      </c>
      <c r="E1014" s="174" t="s">
        <v>2713</v>
      </c>
      <c r="F1014" s="174" t="s">
        <v>2714</v>
      </c>
      <c r="G1014" s="174" t="s">
        <v>2719</v>
      </c>
    </row>
    <row r="1015" spans="1:7" ht="14.25" customHeight="1">
      <c r="A1015" s="45">
        <v>1008</v>
      </c>
      <c r="B1015" s="263" t="s">
        <v>2696</v>
      </c>
      <c r="C1015" s="264" t="s">
        <v>2720</v>
      </c>
      <c r="D1015" s="579" t="s">
        <v>5234</v>
      </c>
      <c r="E1015" s="174" t="s">
        <v>2713</v>
      </c>
      <c r="F1015" s="174" t="s">
        <v>2714</v>
      </c>
      <c r="G1015" s="174" t="s">
        <v>2719</v>
      </c>
    </row>
    <row r="1016" spans="1:7" ht="14.25" customHeight="1">
      <c r="A1016" s="45">
        <v>1009</v>
      </c>
      <c r="B1016" s="263" t="s">
        <v>2699</v>
      </c>
      <c r="C1016" s="264" t="s">
        <v>2723</v>
      </c>
      <c r="D1016" s="579" t="s">
        <v>5238</v>
      </c>
      <c r="E1016" s="174" t="s">
        <v>2713</v>
      </c>
      <c r="F1016" s="174" t="s">
        <v>2714</v>
      </c>
      <c r="G1016" s="174" t="s">
        <v>2719</v>
      </c>
    </row>
    <row r="1017" spans="1:7" ht="14.25" customHeight="1">
      <c r="A1017" s="45">
        <v>1010</v>
      </c>
      <c r="B1017" s="180" t="s">
        <v>557</v>
      </c>
      <c r="C1017" s="181" t="s">
        <v>2418</v>
      </c>
      <c r="D1017" s="56" t="s">
        <v>4265</v>
      </c>
      <c r="E1017" s="174" t="s">
        <v>2452</v>
      </c>
      <c r="F1017" s="174" t="s">
        <v>2453</v>
      </c>
      <c r="G1017" s="174" t="s">
        <v>2313</v>
      </c>
    </row>
    <row r="1018" spans="1:7" ht="14.25" customHeight="1">
      <c r="A1018" s="45">
        <v>1011</v>
      </c>
      <c r="B1018" s="180" t="s">
        <v>585</v>
      </c>
      <c r="C1018" s="574" t="s">
        <v>2439</v>
      </c>
      <c r="D1018" s="56" t="s">
        <v>4288</v>
      </c>
      <c r="E1018" s="174" t="s">
        <v>2452</v>
      </c>
      <c r="F1018" s="174" t="s">
        <v>2453</v>
      </c>
      <c r="G1018" s="174" t="s">
        <v>2313</v>
      </c>
    </row>
    <row r="1019" spans="1:7" ht="14.25" customHeight="1">
      <c r="A1019" s="45">
        <v>1012</v>
      </c>
      <c r="B1019" s="180" t="s">
        <v>590</v>
      </c>
      <c r="C1019" s="181" t="s">
        <v>2442</v>
      </c>
      <c r="D1019" s="56" t="s">
        <v>4292</v>
      </c>
      <c r="E1019" s="174" t="s">
        <v>2452</v>
      </c>
      <c r="F1019" s="174" t="s">
        <v>2453</v>
      </c>
      <c r="G1019" s="174" t="s">
        <v>2313</v>
      </c>
    </row>
    <row r="1020" spans="1:7" ht="14.25" customHeight="1">
      <c r="A1020" s="45">
        <v>1013</v>
      </c>
      <c r="B1020" s="180" t="s">
        <v>569</v>
      </c>
      <c r="C1020" s="181" t="s">
        <v>2428</v>
      </c>
      <c r="D1020" s="56" t="s">
        <v>4276</v>
      </c>
      <c r="E1020" s="174" t="s">
        <v>2452</v>
      </c>
      <c r="F1020" s="174" t="s">
        <v>2453</v>
      </c>
      <c r="G1020" s="174" t="s">
        <v>2313</v>
      </c>
    </row>
    <row r="1021" spans="1:7" ht="14.25" customHeight="1">
      <c r="A1021" s="45">
        <v>1014</v>
      </c>
      <c r="B1021" s="180" t="s">
        <v>548</v>
      </c>
      <c r="C1021" s="181" t="s">
        <v>2412</v>
      </c>
      <c r="D1021" s="56" t="s">
        <v>4266</v>
      </c>
      <c r="E1021" s="174" t="s">
        <v>2452</v>
      </c>
      <c r="F1021" s="174" t="s">
        <v>2453</v>
      </c>
      <c r="G1021" s="174" t="s">
        <v>2313</v>
      </c>
    </row>
    <row r="1022" spans="1:7" ht="14.25" customHeight="1">
      <c r="A1022" s="45">
        <v>1015</v>
      </c>
      <c r="B1022" s="180" t="s">
        <v>566</v>
      </c>
      <c r="C1022" s="181" t="s">
        <v>2423</v>
      </c>
      <c r="D1022" s="56" t="s">
        <v>4271</v>
      </c>
      <c r="E1022" s="174" t="s">
        <v>2452</v>
      </c>
      <c r="F1022" s="174" t="s">
        <v>2453</v>
      </c>
      <c r="G1022" s="174" t="s">
        <v>2313</v>
      </c>
    </row>
    <row r="1023" spans="1:7" ht="14.25" customHeight="1">
      <c r="A1023" s="45">
        <v>1016</v>
      </c>
      <c r="B1023" s="180" t="s">
        <v>594</v>
      </c>
      <c r="C1023" s="181" t="s">
        <v>2445</v>
      </c>
      <c r="D1023" s="56" t="s">
        <v>4295</v>
      </c>
      <c r="E1023" s="174" t="s">
        <v>2452</v>
      </c>
      <c r="F1023" s="174" t="s">
        <v>2453</v>
      </c>
      <c r="G1023" s="174" t="s">
        <v>2313</v>
      </c>
    </row>
    <row r="1024" spans="1:7" ht="14.25" customHeight="1">
      <c r="A1024" s="45">
        <v>1017</v>
      </c>
      <c r="B1024" s="180" t="s">
        <v>588</v>
      </c>
      <c r="C1024" s="181" t="s">
        <v>2440</v>
      </c>
      <c r="D1024" s="56" t="s">
        <v>4289</v>
      </c>
      <c r="E1024" s="174" t="s">
        <v>2452</v>
      </c>
      <c r="F1024" s="174" t="s">
        <v>2453</v>
      </c>
      <c r="G1024" s="174" t="s">
        <v>2313</v>
      </c>
    </row>
    <row r="1025" spans="1:7" ht="14.25" customHeight="1">
      <c r="A1025" s="45">
        <v>1018</v>
      </c>
      <c r="B1025" s="180" t="s">
        <v>597</v>
      </c>
      <c r="C1025" s="574" t="s">
        <v>4312</v>
      </c>
      <c r="D1025" s="56" t="s">
        <v>4298</v>
      </c>
      <c r="E1025" s="174" t="s">
        <v>2452</v>
      </c>
      <c r="F1025" s="174" t="s">
        <v>2453</v>
      </c>
      <c r="G1025" s="174" t="s">
        <v>2313</v>
      </c>
    </row>
    <row r="1026" spans="1:7" ht="14.25" customHeight="1">
      <c r="A1026" s="45">
        <v>1019</v>
      </c>
      <c r="B1026" s="180" t="s">
        <v>561</v>
      </c>
      <c r="C1026" s="181" t="s">
        <v>2420</v>
      </c>
      <c r="D1026" s="56" t="s">
        <v>4267</v>
      </c>
      <c r="E1026" s="174" t="s">
        <v>2452</v>
      </c>
      <c r="F1026" s="174" t="s">
        <v>2453</v>
      </c>
      <c r="G1026" s="174" t="s">
        <v>2313</v>
      </c>
    </row>
    <row r="1027" spans="1:7" ht="14.25" customHeight="1">
      <c r="A1027" s="45">
        <v>1020</v>
      </c>
      <c r="B1027" s="180" t="s">
        <v>544</v>
      </c>
      <c r="C1027" s="181" t="s">
        <v>2408</v>
      </c>
      <c r="D1027" s="56" t="s">
        <v>4257</v>
      </c>
      <c r="E1027" s="174" t="s">
        <v>2452</v>
      </c>
      <c r="F1027" s="174" t="s">
        <v>2453</v>
      </c>
      <c r="G1027" s="174" t="s">
        <v>2312</v>
      </c>
    </row>
    <row r="1028" spans="1:7" ht="14.25" customHeight="1">
      <c r="A1028" s="45">
        <v>1021</v>
      </c>
      <c r="B1028" s="180" t="s">
        <v>581</v>
      </c>
      <c r="C1028" s="181" t="s">
        <v>581</v>
      </c>
      <c r="D1028" s="56" t="s">
        <v>4285</v>
      </c>
      <c r="E1028" s="174" t="s">
        <v>2452</v>
      </c>
      <c r="F1028" s="174" t="s">
        <v>2453</v>
      </c>
      <c r="G1028" s="174" t="s">
        <v>2313</v>
      </c>
    </row>
    <row r="1029" spans="1:7" ht="14.25" customHeight="1">
      <c r="A1029" s="45">
        <v>1022</v>
      </c>
      <c r="B1029" s="180" t="s">
        <v>4313</v>
      </c>
      <c r="C1029" s="181" t="s">
        <v>2427</v>
      </c>
      <c r="D1029" s="56" t="s">
        <v>4280</v>
      </c>
      <c r="E1029" s="174" t="s">
        <v>2452</v>
      </c>
      <c r="F1029" s="174" t="s">
        <v>2453</v>
      </c>
      <c r="G1029" s="174" t="s">
        <v>2313</v>
      </c>
    </row>
    <row r="1030" spans="1:7" ht="14.25" customHeight="1">
      <c r="A1030" s="45">
        <v>1023</v>
      </c>
      <c r="B1030" s="180" t="s">
        <v>584</v>
      </c>
      <c r="C1030" s="181" t="s">
        <v>2438</v>
      </c>
      <c r="D1030" s="56" t="s">
        <v>4287</v>
      </c>
      <c r="E1030" s="174" t="s">
        <v>2452</v>
      </c>
      <c r="F1030" s="174" t="s">
        <v>2453</v>
      </c>
      <c r="G1030" s="174" t="s">
        <v>2313</v>
      </c>
    </row>
    <row r="1031" spans="1:7" ht="14.25" customHeight="1">
      <c r="A1031" s="45">
        <v>1024</v>
      </c>
      <c r="B1031" s="180" t="s">
        <v>576</v>
      </c>
      <c r="C1031" s="181" t="s">
        <v>2434</v>
      </c>
      <c r="D1031" s="56" t="s">
        <v>4284</v>
      </c>
      <c r="E1031" s="174" t="s">
        <v>2452</v>
      </c>
      <c r="F1031" s="174" t="s">
        <v>2453</v>
      </c>
      <c r="G1031" s="174" t="s">
        <v>2313</v>
      </c>
    </row>
    <row r="1032" spans="1:7" ht="14.25" customHeight="1">
      <c r="A1032" s="45">
        <v>1025</v>
      </c>
      <c r="B1032" s="180" t="s">
        <v>3293</v>
      </c>
      <c r="C1032" s="181" t="s">
        <v>2426</v>
      </c>
      <c r="D1032" s="56" t="s">
        <v>4275</v>
      </c>
      <c r="E1032" s="174" t="s">
        <v>2452</v>
      </c>
      <c r="F1032" s="174" t="s">
        <v>2453</v>
      </c>
      <c r="G1032" s="174" t="s">
        <v>2313</v>
      </c>
    </row>
    <row r="1033" spans="1:7" ht="14.25" customHeight="1">
      <c r="A1033" s="45">
        <v>1026</v>
      </c>
      <c r="B1033" s="180" t="s">
        <v>593</v>
      </c>
      <c r="C1033" s="181" t="s">
        <v>2444</v>
      </c>
      <c r="D1033" s="56" t="s">
        <v>4294</v>
      </c>
      <c r="E1033" s="174" t="s">
        <v>2452</v>
      </c>
      <c r="F1033" s="174" t="s">
        <v>2453</v>
      </c>
      <c r="G1033" s="174" t="s">
        <v>2313</v>
      </c>
    </row>
    <row r="1034" spans="1:7" ht="14.25" customHeight="1">
      <c r="A1034" s="45">
        <v>1027</v>
      </c>
      <c r="B1034" s="180" t="s">
        <v>571</v>
      </c>
      <c r="C1034" s="181" t="s">
        <v>2430</v>
      </c>
      <c r="D1034" s="56" t="s">
        <v>4278</v>
      </c>
      <c r="E1034" s="174" t="s">
        <v>2452</v>
      </c>
      <c r="F1034" s="174" t="s">
        <v>2453</v>
      </c>
      <c r="G1034" s="174" t="s">
        <v>2313</v>
      </c>
    </row>
    <row r="1035" spans="1:7" ht="14.25" customHeight="1">
      <c r="A1035" s="45">
        <v>1028</v>
      </c>
      <c r="B1035" s="180" t="s">
        <v>583</v>
      </c>
      <c r="C1035" s="574" t="s">
        <v>4216</v>
      </c>
      <c r="D1035" s="56" t="s">
        <v>4310</v>
      </c>
      <c r="E1035" s="174" t="s">
        <v>2452</v>
      </c>
      <c r="F1035" s="174" t="s">
        <v>2453</v>
      </c>
      <c r="G1035" s="174" t="s">
        <v>2313</v>
      </c>
    </row>
    <row r="1036" spans="1:7" ht="14.25" customHeight="1">
      <c r="A1036" s="45">
        <v>1029</v>
      </c>
      <c r="B1036" s="180" t="s">
        <v>582</v>
      </c>
      <c r="C1036" s="574" t="s">
        <v>4215</v>
      </c>
      <c r="D1036" s="56" t="s">
        <v>4311</v>
      </c>
      <c r="E1036" s="174" t="s">
        <v>2452</v>
      </c>
      <c r="F1036" s="174" t="s">
        <v>2453</v>
      </c>
      <c r="G1036" s="174" t="s">
        <v>2313</v>
      </c>
    </row>
    <row r="1037" spans="1:7" ht="14.25" customHeight="1">
      <c r="A1037" s="45">
        <v>1030</v>
      </c>
      <c r="B1037" s="180" t="s">
        <v>602</v>
      </c>
      <c r="C1037" s="181" t="s">
        <v>2424</v>
      </c>
      <c r="D1037" s="56" t="s">
        <v>4272</v>
      </c>
      <c r="E1037" s="174" t="s">
        <v>2452</v>
      </c>
      <c r="F1037" s="19" t="s">
        <v>4273</v>
      </c>
      <c r="G1037" s="174" t="s">
        <v>2313</v>
      </c>
    </row>
    <row r="1038" spans="1:7" ht="14.25" customHeight="1">
      <c r="A1038" s="45">
        <v>1031</v>
      </c>
      <c r="B1038" s="180" t="s">
        <v>570</v>
      </c>
      <c r="C1038" s="181" t="s">
        <v>2429</v>
      </c>
      <c r="D1038" s="56" t="s">
        <v>4277</v>
      </c>
      <c r="E1038" s="174" t="s">
        <v>2452</v>
      </c>
      <c r="F1038" s="174" t="s">
        <v>2453</v>
      </c>
      <c r="G1038" s="174" t="s">
        <v>2313</v>
      </c>
    </row>
    <row r="1039" spans="1:7" ht="14.25" customHeight="1">
      <c r="A1039" s="45">
        <v>1032</v>
      </c>
      <c r="B1039" s="180" t="s">
        <v>600</v>
      </c>
      <c r="C1039" s="181" t="s">
        <v>2450</v>
      </c>
      <c r="D1039" s="56" t="s">
        <v>4301</v>
      </c>
      <c r="E1039" s="174" t="s">
        <v>2452</v>
      </c>
      <c r="F1039" s="174" t="s">
        <v>2453</v>
      </c>
      <c r="G1039" s="174" t="s">
        <v>2313</v>
      </c>
    </row>
    <row r="1040" spans="1:7" ht="14.25" customHeight="1">
      <c r="A1040" s="45">
        <v>1033</v>
      </c>
      <c r="B1040" s="180" t="s">
        <v>595</v>
      </c>
      <c r="C1040" s="181" t="s">
        <v>2446</v>
      </c>
      <c r="D1040" s="56" t="s">
        <v>4296</v>
      </c>
      <c r="E1040" s="174" t="s">
        <v>2452</v>
      </c>
      <c r="F1040" s="174" t="s">
        <v>2453</v>
      </c>
      <c r="G1040" s="174" t="s">
        <v>2313</v>
      </c>
    </row>
    <row r="1041" spans="1:7" ht="14.25" customHeight="1">
      <c r="A1041" s="45">
        <v>1034</v>
      </c>
      <c r="B1041" s="180" t="s">
        <v>112</v>
      </c>
      <c r="C1041" s="181" t="s">
        <v>2436</v>
      </c>
      <c r="D1041" s="44" t="s">
        <v>1509</v>
      </c>
      <c r="E1041" s="174" t="s">
        <v>2452</v>
      </c>
      <c r="F1041" s="174" t="s">
        <v>2453</v>
      </c>
      <c r="G1041" s="174" t="s">
        <v>2313</v>
      </c>
    </row>
    <row r="1042" spans="1:7" ht="14.25" customHeight="1">
      <c r="A1042" s="45">
        <v>1035</v>
      </c>
      <c r="B1042" s="180" t="s">
        <v>551</v>
      </c>
      <c r="C1042" s="181" t="s">
        <v>2414</v>
      </c>
      <c r="D1042" s="56" t="s">
        <v>4261</v>
      </c>
      <c r="E1042" s="174" t="s">
        <v>2452</v>
      </c>
      <c r="F1042" s="174" t="s">
        <v>2453</v>
      </c>
      <c r="G1042" s="174" t="s">
        <v>2313</v>
      </c>
    </row>
    <row r="1043" spans="1:7" ht="14.25" customHeight="1">
      <c r="A1043" s="45">
        <v>1036</v>
      </c>
      <c r="B1043" s="180" t="s">
        <v>572</v>
      </c>
      <c r="C1043" s="181" t="s">
        <v>2431</v>
      </c>
      <c r="D1043" s="56" t="s">
        <v>4279</v>
      </c>
      <c r="E1043" s="174" t="s">
        <v>2452</v>
      </c>
      <c r="F1043" s="174" t="s">
        <v>2453</v>
      </c>
      <c r="G1043" s="174" t="s">
        <v>2313</v>
      </c>
    </row>
    <row r="1044" spans="1:7" ht="14.25" customHeight="1">
      <c r="A1044" s="45">
        <v>1037</v>
      </c>
      <c r="B1044" s="180" t="s">
        <v>596</v>
      </c>
      <c r="C1044" s="181" t="s">
        <v>2447</v>
      </c>
      <c r="D1044" s="56" t="s">
        <v>4297</v>
      </c>
      <c r="E1044" s="174" t="s">
        <v>2452</v>
      </c>
      <c r="F1044" s="174" t="s">
        <v>2453</v>
      </c>
      <c r="G1044" s="174" t="s">
        <v>2313</v>
      </c>
    </row>
    <row r="1045" spans="1:7" ht="14.25" customHeight="1">
      <c r="A1045" s="45">
        <v>1038</v>
      </c>
      <c r="B1045" s="180" t="s">
        <v>589</v>
      </c>
      <c r="C1045" s="181" t="s">
        <v>2441</v>
      </c>
      <c r="D1045" s="56" t="s">
        <v>4291</v>
      </c>
      <c r="E1045" s="174" t="s">
        <v>2452</v>
      </c>
      <c r="F1045" s="174" t="s">
        <v>2453</v>
      </c>
      <c r="G1045" s="174" t="s">
        <v>2313</v>
      </c>
    </row>
    <row r="1046" spans="1:7" ht="14.25" customHeight="1">
      <c r="A1046" s="45">
        <v>1039</v>
      </c>
      <c r="B1046" s="180" t="s">
        <v>598</v>
      </c>
      <c r="C1046" s="181" t="s">
        <v>2448</v>
      </c>
      <c r="D1046" s="56" t="s">
        <v>4299</v>
      </c>
      <c r="E1046" s="174" t="s">
        <v>2452</v>
      </c>
      <c r="F1046" s="174" t="s">
        <v>2453</v>
      </c>
      <c r="G1046" s="174" t="s">
        <v>2313</v>
      </c>
    </row>
    <row r="1047" spans="1:7" ht="14.25" customHeight="1">
      <c r="A1047" s="45">
        <v>1040</v>
      </c>
      <c r="B1047" s="180" t="s">
        <v>579</v>
      </c>
      <c r="C1047" s="181" t="s">
        <v>2437</v>
      </c>
      <c r="D1047" s="56" t="s">
        <v>4286</v>
      </c>
      <c r="E1047" s="174" t="s">
        <v>2452</v>
      </c>
      <c r="F1047" s="174" t="s">
        <v>2453</v>
      </c>
      <c r="G1047" s="174" t="s">
        <v>2313</v>
      </c>
    </row>
    <row r="1048" spans="1:7" ht="14.25" customHeight="1">
      <c r="A1048" s="45">
        <v>1041</v>
      </c>
      <c r="B1048" s="180" t="s">
        <v>587</v>
      </c>
      <c r="C1048" s="574" t="s">
        <v>4309</v>
      </c>
      <c r="D1048" s="44" t="s">
        <v>1509</v>
      </c>
      <c r="E1048" s="174" t="s">
        <v>2452</v>
      </c>
      <c r="F1048" s="174" t="s">
        <v>2453</v>
      </c>
      <c r="G1048" s="174" t="s">
        <v>2313</v>
      </c>
    </row>
    <row r="1049" spans="1:7" ht="14.25" customHeight="1">
      <c r="A1049" s="45">
        <v>1042</v>
      </c>
      <c r="B1049" s="180" t="s">
        <v>514</v>
      </c>
      <c r="C1049" s="181" t="s">
        <v>2417</v>
      </c>
      <c r="D1049" s="56" t="s">
        <v>4264</v>
      </c>
      <c r="E1049" s="174" t="s">
        <v>2452</v>
      </c>
      <c r="F1049" s="174" t="s">
        <v>2453</v>
      </c>
      <c r="G1049" s="174" t="s">
        <v>2313</v>
      </c>
    </row>
    <row r="1050" spans="1:7" ht="14.25" customHeight="1">
      <c r="A1050" s="45">
        <v>1043</v>
      </c>
      <c r="B1050" s="180" t="s">
        <v>601</v>
      </c>
      <c r="C1050" s="181" t="s">
        <v>2451</v>
      </c>
      <c r="D1050" s="56" t="s">
        <v>4302</v>
      </c>
      <c r="E1050" s="174" t="s">
        <v>2452</v>
      </c>
      <c r="F1050" s="174" t="s">
        <v>2453</v>
      </c>
      <c r="G1050" s="174" t="s">
        <v>2313</v>
      </c>
    </row>
    <row r="1051" spans="1:7" ht="14.25" customHeight="1">
      <c r="A1051" s="45">
        <v>1044</v>
      </c>
      <c r="B1051" s="180" t="s">
        <v>591</v>
      </c>
      <c r="C1051" s="181" t="s">
        <v>2443</v>
      </c>
      <c r="D1051" s="56" t="s">
        <v>4290</v>
      </c>
      <c r="E1051" s="174" t="s">
        <v>2452</v>
      </c>
      <c r="F1051" s="174" t="s">
        <v>2453</v>
      </c>
      <c r="G1051" s="174" t="s">
        <v>2313</v>
      </c>
    </row>
    <row r="1052" spans="1:7" ht="14.25" customHeight="1">
      <c r="A1052" s="45">
        <v>1045</v>
      </c>
      <c r="B1052" s="180" t="s">
        <v>553</v>
      </c>
      <c r="C1052" s="181" t="s">
        <v>2415</v>
      </c>
      <c r="D1052" s="56" t="s">
        <v>4262</v>
      </c>
      <c r="E1052" s="174" t="s">
        <v>2452</v>
      </c>
      <c r="F1052" s="174" t="s">
        <v>2453</v>
      </c>
      <c r="G1052" s="174" t="s">
        <v>2313</v>
      </c>
    </row>
    <row r="1053" spans="1:7" ht="14.25" customHeight="1">
      <c r="A1053" s="45">
        <v>1046</v>
      </c>
      <c r="B1053" s="180" t="s">
        <v>546</v>
      </c>
      <c r="C1053" s="181" t="s">
        <v>2410</v>
      </c>
      <c r="D1053" s="56" t="s">
        <v>4258</v>
      </c>
      <c r="E1053" s="174" t="s">
        <v>2452</v>
      </c>
      <c r="F1053" s="174" t="s">
        <v>2453</v>
      </c>
      <c r="G1053" s="174" t="s">
        <v>2313</v>
      </c>
    </row>
    <row r="1054" spans="1:7" ht="14.25" customHeight="1">
      <c r="A1054" s="45">
        <v>1047</v>
      </c>
      <c r="B1054" s="180" t="s">
        <v>549</v>
      </c>
      <c r="C1054" s="181" t="s">
        <v>2413</v>
      </c>
      <c r="D1054" s="56" t="s">
        <v>4260</v>
      </c>
      <c r="E1054" s="174" t="s">
        <v>2452</v>
      </c>
      <c r="F1054" s="174" t="s">
        <v>2453</v>
      </c>
      <c r="G1054" s="174" t="s">
        <v>2313</v>
      </c>
    </row>
    <row r="1055" spans="1:7" ht="14.25" customHeight="1">
      <c r="A1055" s="45">
        <v>1048</v>
      </c>
      <c r="B1055" s="180" t="s">
        <v>565</v>
      </c>
      <c r="C1055" s="181" t="s">
        <v>2422</v>
      </c>
      <c r="D1055" s="56" t="s">
        <v>4269</v>
      </c>
      <c r="E1055" s="174" t="s">
        <v>2452</v>
      </c>
      <c r="F1055" s="174" t="s">
        <v>2453</v>
      </c>
      <c r="G1055" s="174" t="s">
        <v>2313</v>
      </c>
    </row>
    <row r="1056" spans="1:7" ht="14.25" customHeight="1">
      <c r="A1056" s="45">
        <v>1049</v>
      </c>
      <c r="B1056" s="180" t="s">
        <v>603</v>
      </c>
      <c r="C1056" s="181" t="s">
        <v>2425</v>
      </c>
      <c r="D1056" s="56" t="s">
        <v>4274</v>
      </c>
      <c r="E1056" s="174" t="s">
        <v>2452</v>
      </c>
      <c r="F1056" s="174" t="s">
        <v>2453</v>
      </c>
      <c r="G1056" s="174" t="s">
        <v>2313</v>
      </c>
    </row>
    <row r="1057" spans="1:7" ht="14.25" customHeight="1">
      <c r="A1057" s="45">
        <v>1050</v>
      </c>
      <c r="B1057" s="180" t="s">
        <v>545</v>
      </c>
      <c r="C1057" s="181" t="s">
        <v>2409</v>
      </c>
      <c r="D1057" s="56" t="s">
        <v>4256</v>
      </c>
      <c r="E1057" s="174" t="s">
        <v>2452</v>
      </c>
      <c r="F1057" s="174" t="s">
        <v>2453</v>
      </c>
      <c r="G1057" s="174" t="s">
        <v>2312</v>
      </c>
    </row>
    <row r="1058" spans="1:7" ht="14.25" customHeight="1">
      <c r="A1058" s="45">
        <v>1051</v>
      </c>
      <c r="B1058" s="180" t="s">
        <v>563</v>
      </c>
      <c r="C1058" s="181" t="s">
        <v>2421</v>
      </c>
      <c r="D1058" s="56" t="s">
        <v>4270</v>
      </c>
      <c r="E1058" s="174" t="s">
        <v>2452</v>
      </c>
      <c r="F1058" s="174" t="s">
        <v>2453</v>
      </c>
      <c r="G1058" s="174" t="s">
        <v>2313</v>
      </c>
    </row>
    <row r="1059" spans="1:7" ht="14.25" customHeight="1">
      <c r="A1059" s="45">
        <v>1052</v>
      </c>
      <c r="B1059" s="180" t="s">
        <v>575</v>
      </c>
      <c r="C1059" s="181" t="s">
        <v>2433</v>
      </c>
      <c r="D1059" s="56" t="s">
        <v>4283</v>
      </c>
      <c r="E1059" s="174" t="s">
        <v>2452</v>
      </c>
      <c r="F1059" s="174" t="s">
        <v>2453</v>
      </c>
      <c r="G1059" s="174" t="s">
        <v>2313</v>
      </c>
    </row>
    <row r="1060" spans="1:7" ht="14.25" customHeight="1">
      <c r="A1060" s="45">
        <v>1053</v>
      </c>
      <c r="B1060" s="180" t="s">
        <v>574</v>
      </c>
      <c r="C1060" s="181" t="s">
        <v>574</v>
      </c>
      <c r="D1060" s="56" t="s">
        <v>4281</v>
      </c>
      <c r="E1060" s="174" t="s">
        <v>2452</v>
      </c>
      <c r="F1060" s="174" t="s">
        <v>2453</v>
      </c>
      <c r="G1060" s="174" t="s">
        <v>2313</v>
      </c>
    </row>
    <row r="1061" spans="1:7" ht="14.25" customHeight="1">
      <c r="A1061" s="45">
        <v>1054</v>
      </c>
      <c r="B1061" s="180" t="s">
        <v>547</v>
      </c>
      <c r="C1061" s="181" t="s">
        <v>2411</v>
      </c>
      <c r="D1061" s="56" t="s">
        <v>4259</v>
      </c>
      <c r="E1061" s="174" t="s">
        <v>2452</v>
      </c>
      <c r="F1061" s="174" t="s">
        <v>2453</v>
      </c>
      <c r="G1061" s="174" t="s">
        <v>2313</v>
      </c>
    </row>
    <row r="1062" spans="1:7" ht="14.25" customHeight="1">
      <c r="A1062" s="45">
        <v>1055</v>
      </c>
      <c r="B1062" s="180" t="s">
        <v>599</v>
      </c>
      <c r="C1062" s="181" t="s">
        <v>2449</v>
      </c>
      <c r="D1062" s="56" t="s">
        <v>4300</v>
      </c>
      <c r="E1062" s="174" t="s">
        <v>2452</v>
      </c>
      <c r="F1062" s="174" t="s">
        <v>2453</v>
      </c>
      <c r="G1062" s="174" t="s">
        <v>2313</v>
      </c>
    </row>
    <row r="1063" spans="1:7" ht="14.25" customHeight="1">
      <c r="A1063" s="45">
        <v>1056</v>
      </c>
      <c r="B1063" s="180" t="s">
        <v>573</v>
      </c>
      <c r="C1063" s="181" t="s">
        <v>2432</v>
      </c>
      <c r="D1063" s="56" t="s">
        <v>4282</v>
      </c>
      <c r="E1063" s="174" t="s">
        <v>2452</v>
      </c>
      <c r="F1063" s="174" t="s">
        <v>2453</v>
      </c>
      <c r="G1063" s="174" t="s">
        <v>2313</v>
      </c>
    </row>
    <row r="1064" spans="1:7" ht="14.25" customHeight="1">
      <c r="A1064" s="45">
        <v>1057</v>
      </c>
      <c r="B1064" s="180" t="s">
        <v>577</v>
      </c>
      <c r="C1064" s="181" t="s">
        <v>2435</v>
      </c>
      <c r="D1064" s="56" t="s">
        <v>4293</v>
      </c>
      <c r="E1064" s="174" t="s">
        <v>2452</v>
      </c>
      <c r="F1064" s="174" t="s">
        <v>2453</v>
      </c>
      <c r="G1064" s="174" t="s">
        <v>2313</v>
      </c>
    </row>
    <row r="1065" spans="1:7" ht="14.25" customHeight="1">
      <c r="A1065" s="45">
        <v>1058</v>
      </c>
      <c r="B1065" s="180" t="s">
        <v>559</v>
      </c>
      <c r="C1065" s="181" t="s">
        <v>2419</v>
      </c>
      <c r="D1065" s="56" t="s">
        <v>4268</v>
      </c>
      <c r="E1065" s="174" t="s">
        <v>2452</v>
      </c>
      <c r="F1065" s="174" t="s">
        <v>2453</v>
      </c>
      <c r="G1065" s="174" t="s">
        <v>2313</v>
      </c>
    </row>
    <row r="1066" spans="1:7" ht="14.25" customHeight="1">
      <c r="A1066" s="45">
        <v>1059</v>
      </c>
      <c r="B1066" s="180" t="s">
        <v>555</v>
      </c>
      <c r="C1066" s="181" t="s">
        <v>2416</v>
      </c>
      <c r="D1066" s="56" t="s">
        <v>4263</v>
      </c>
      <c r="E1066" s="174" t="s">
        <v>2452</v>
      </c>
      <c r="F1066" s="174" t="s">
        <v>2453</v>
      </c>
      <c r="G1066" s="174" t="s">
        <v>2313</v>
      </c>
    </row>
    <row r="1067" spans="1:7" ht="14.25" customHeight="1">
      <c r="A1067" s="45">
        <v>1060</v>
      </c>
      <c r="B1067" s="186" t="s">
        <v>2547</v>
      </c>
      <c r="C1067" s="36" t="s">
        <v>2591</v>
      </c>
      <c r="D1067" s="577" t="s">
        <v>5227</v>
      </c>
      <c r="E1067" s="174" t="s">
        <v>2452</v>
      </c>
      <c r="F1067" s="174" t="s">
        <v>2615</v>
      </c>
      <c r="G1067" s="174" t="s">
        <v>2617</v>
      </c>
    </row>
    <row r="1068" spans="1:7" ht="14.25" customHeight="1">
      <c r="A1068" s="45">
        <v>1061</v>
      </c>
      <c r="B1068" s="186" t="s">
        <v>2543</v>
      </c>
      <c r="C1068" s="36" t="s">
        <v>2589</v>
      </c>
      <c r="D1068" s="577" t="s">
        <v>5213</v>
      </c>
      <c r="E1068" s="174" t="s">
        <v>2452</v>
      </c>
      <c r="F1068" s="174" t="s">
        <v>2615</v>
      </c>
      <c r="G1068" s="174" t="s">
        <v>2519</v>
      </c>
    </row>
    <row r="1069" spans="1:7" ht="14.25" customHeight="1">
      <c r="A1069" s="45">
        <v>1062</v>
      </c>
      <c r="B1069" s="186" t="s">
        <v>2549</v>
      </c>
      <c r="C1069" s="36" t="s">
        <v>2595</v>
      </c>
      <c r="D1069" s="577" t="s">
        <v>5210</v>
      </c>
      <c r="E1069" s="174" t="s">
        <v>2452</v>
      </c>
      <c r="F1069" s="174" t="s">
        <v>2615</v>
      </c>
      <c r="G1069" s="174" t="s">
        <v>2617</v>
      </c>
    </row>
    <row r="1070" spans="1:7" ht="14.25" customHeight="1">
      <c r="A1070" s="45">
        <v>1063</v>
      </c>
      <c r="B1070" s="186" t="s">
        <v>2544</v>
      </c>
      <c r="C1070" s="36" t="s">
        <v>2593</v>
      </c>
      <c r="D1070" s="55" t="s">
        <v>5220</v>
      </c>
      <c r="E1070" s="174" t="s">
        <v>2452</v>
      </c>
      <c r="F1070" s="174" t="s">
        <v>2615</v>
      </c>
      <c r="G1070" s="174" t="s">
        <v>2617</v>
      </c>
    </row>
    <row r="1071" spans="1:7" ht="14.25" customHeight="1">
      <c r="A1071" s="45">
        <v>1064</v>
      </c>
      <c r="B1071" s="186" t="s">
        <v>2545</v>
      </c>
      <c r="C1071" s="36" t="s">
        <v>2590</v>
      </c>
      <c r="D1071" s="577" t="s">
        <v>5216</v>
      </c>
      <c r="E1071" s="174" t="s">
        <v>2452</v>
      </c>
      <c r="F1071" s="174" t="s">
        <v>2615</v>
      </c>
      <c r="G1071" s="174" t="s">
        <v>2519</v>
      </c>
    </row>
    <row r="1072" spans="1:7" ht="14.25" customHeight="1">
      <c r="A1072" s="45">
        <v>1065</v>
      </c>
      <c r="B1072" s="186" t="s">
        <v>2548</v>
      </c>
      <c r="C1072" s="36" t="s">
        <v>2592</v>
      </c>
      <c r="D1072" s="577" t="s">
        <v>5217</v>
      </c>
      <c r="E1072" s="174" t="s">
        <v>2452</v>
      </c>
      <c r="F1072" s="174" t="s">
        <v>2615</v>
      </c>
      <c r="G1072" s="174" t="s">
        <v>2617</v>
      </c>
    </row>
    <row r="1073" spans="1:7" ht="14.25" customHeight="1">
      <c r="A1073" s="45">
        <v>1066</v>
      </c>
      <c r="B1073" s="186" t="s">
        <v>2546</v>
      </c>
      <c r="C1073" s="36" t="s">
        <v>2594</v>
      </c>
      <c r="D1073" s="577" t="s">
        <v>5209</v>
      </c>
      <c r="E1073" s="174" t="s">
        <v>2452</v>
      </c>
      <c r="F1073" s="174" t="s">
        <v>2615</v>
      </c>
      <c r="G1073" s="174" t="s">
        <v>2617</v>
      </c>
    </row>
    <row r="1074" spans="1:7" ht="14.25" customHeight="1">
      <c r="A1074" s="45">
        <v>1067</v>
      </c>
      <c r="B1074" s="186" t="s">
        <v>2550</v>
      </c>
      <c r="C1074" s="36" t="s">
        <v>2596</v>
      </c>
      <c r="D1074" s="577" t="s">
        <v>5226</v>
      </c>
      <c r="E1074" s="174" t="s">
        <v>2452</v>
      </c>
      <c r="F1074" s="174" t="s">
        <v>2615</v>
      </c>
      <c r="G1074" s="174" t="s">
        <v>2617</v>
      </c>
    </row>
    <row r="1075" spans="1:7" ht="14.25" customHeight="1">
      <c r="A1075" s="45">
        <v>1068</v>
      </c>
      <c r="B1075" s="187" t="s">
        <v>2557</v>
      </c>
      <c r="C1075" s="50" t="s">
        <v>2599</v>
      </c>
      <c r="D1075" s="578" t="s">
        <v>5203</v>
      </c>
      <c r="E1075" s="174" t="s">
        <v>2452</v>
      </c>
      <c r="F1075" s="174" t="s">
        <v>2615</v>
      </c>
      <c r="G1075" s="174" t="s">
        <v>2616</v>
      </c>
    </row>
    <row r="1076" spans="1:7" ht="14.25" customHeight="1">
      <c r="A1076" s="45">
        <v>1069</v>
      </c>
      <c r="B1076" s="187" t="s">
        <v>2554</v>
      </c>
      <c r="C1076" s="50" t="s">
        <v>2600</v>
      </c>
      <c r="D1076" s="578" t="s">
        <v>5195</v>
      </c>
      <c r="E1076" s="174" t="s">
        <v>2452</v>
      </c>
      <c r="F1076" s="174" t="s">
        <v>2615</v>
      </c>
      <c r="G1076" s="174" t="s">
        <v>2616</v>
      </c>
    </row>
    <row r="1077" spans="1:7" ht="14.25" customHeight="1">
      <c r="A1077" s="45">
        <v>1070</v>
      </c>
      <c r="B1077" s="187" t="s">
        <v>2555</v>
      </c>
      <c r="C1077" s="50" t="s">
        <v>2598</v>
      </c>
      <c r="D1077" s="578" t="s">
        <v>5196</v>
      </c>
      <c r="E1077" s="174" t="s">
        <v>2452</v>
      </c>
      <c r="F1077" s="174" t="s">
        <v>2615</v>
      </c>
      <c r="G1077" s="174" t="s">
        <v>2616</v>
      </c>
    </row>
    <row r="1078" spans="1:7" ht="14.25" customHeight="1">
      <c r="A1078" s="45">
        <v>1071</v>
      </c>
      <c r="B1078" s="187" t="s">
        <v>2556</v>
      </c>
      <c r="C1078" s="50" t="s">
        <v>2601</v>
      </c>
      <c r="D1078" s="578" t="s">
        <v>5229</v>
      </c>
      <c r="E1078" s="174" t="s">
        <v>2452</v>
      </c>
      <c r="F1078" s="174" t="s">
        <v>2615</v>
      </c>
      <c r="G1078" s="174" t="s">
        <v>2616</v>
      </c>
    </row>
    <row r="1079" spans="1:7" ht="14.25" customHeight="1">
      <c r="A1079" s="45">
        <v>1072</v>
      </c>
      <c r="B1079" s="187" t="s">
        <v>2558</v>
      </c>
      <c r="C1079" s="50" t="s">
        <v>2602</v>
      </c>
      <c r="D1079" s="578" t="s">
        <v>5199</v>
      </c>
      <c r="E1079" s="174" t="s">
        <v>2452</v>
      </c>
      <c r="F1079" s="174" t="s">
        <v>2615</v>
      </c>
      <c r="G1079" s="174" t="s">
        <v>2616</v>
      </c>
    </row>
    <row r="1080" spans="1:7" ht="14.25" customHeight="1">
      <c r="A1080" s="45">
        <v>1073</v>
      </c>
      <c r="B1080" s="187" t="s">
        <v>2553</v>
      </c>
      <c r="C1080" s="50" t="s">
        <v>2597</v>
      </c>
      <c r="D1080" s="578" t="s">
        <v>5204</v>
      </c>
      <c r="E1080" s="174" t="s">
        <v>2452</v>
      </c>
      <c r="F1080" s="174" t="s">
        <v>2615</v>
      </c>
      <c r="G1080" s="174" t="s">
        <v>2616</v>
      </c>
    </row>
    <row r="1081" spans="1:7" ht="14.25" customHeight="1">
      <c r="A1081" s="45">
        <v>1074</v>
      </c>
      <c r="B1081" s="263" t="s">
        <v>2562</v>
      </c>
      <c r="C1081" s="254" t="s">
        <v>2604</v>
      </c>
      <c r="D1081" s="579" t="s">
        <v>5230</v>
      </c>
      <c r="E1081" s="174" t="s">
        <v>2452</v>
      </c>
      <c r="F1081" s="174" t="s">
        <v>2615</v>
      </c>
      <c r="G1081" s="174" t="s">
        <v>2587</v>
      </c>
    </row>
    <row r="1082" spans="1:7" ht="14.25" customHeight="1">
      <c r="A1082" s="45">
        <v>1075</v>
      </c>
      <c r="B1082" s="263" t="s">
        <v>2561</v>
      </c>
      <c r="C1082" s="254" t="s">
        <v>2605</v>
      </c>
      <c r="D1082" s="579" t="s">
        <v>5233</v>
      </c>
      <c r="E1082" s="174" t="s">
        <v>2452</v>
      </c>
      <c r="F1082" s="174" t="s">
        <v>2615</v>
      </c>
      <c r="G1082" s="174" t="s">
        <v>2587</v>
      </c>
    </row>
    <row r="1083" spans="1:7" ht="14.25" customHeight="1">
      <c r="A1083" s="45">
        <v>1076</v>
      </c>
      <c r="B1083" s="263" t="s">
        <v>2563</v>
      </c>
      <c r="C1083" s="254" t="s">
        <v>2606</v>
      </c>
      <c r="D1083" s="259" t="s">
        <v>2517</v>
      </c>
      <c r="E1083" s="174" t="s">
        <v>2452</v>
      </c>
      <c r="F1083" s="174" t="s">
        <v>2615</v>
      </c>
      <c r="G1083" s="174" t="s">
        <v>2587</v>
      </c>
    </row>
    <row r="1084" spans="1:7" ht="14.25" customHeight="1">
      <c r="A1084" s="45">
        <v>1077</v>
      </c>
      <c r="B1084" s="263" t="s">
        <v>2560</v>
      </c>
      <c r="C1084" s="254" t="s">
        <v>2603</v>
      </c>
      <c r="D1084" s="579" t="s">
        <v>5236</v>
      </c>
      <c r="E1084" s="174" t="s">
        <v>2452</v>
      </c>
      <c r="F1084" s="174" t="s">
        <v>2615</v>
      </c>
      <c r="G1084" s="174" t="s">
        <v>2587</v>
      </c>
    </row>
    <row r="1085" spans="1:7" ht="14.25" customHeight="1">
      <c r="A1085" s="45">
        <v>1078</v>
      </c>
      <c r="B1085" s="188" t="s">
        <v>2565</v>
      </c>
      <c r="C1085" s="51" t="s">
        <v>2608</v>
      </c>
      <c r="D1085" s="178" t="s">
        <v>5239</v>
      </c>
      <c r="E1085" s="174" t="s">
        <v>2452</v>
      </c>
      <c r="F1085" s="174" t="s">
        <v>2615</v>
      </c>
      <c r="G1085" s="174" t="s">
        <v>2588</v>
      </c>
    </row>
    <row r="1086" spans="1:7" ht="14.25" customHeight="1">
      <c r="A1086" s="45">
        <v>1079</v>
      </c>
      <c r="B1086" s="188" t="s">
        <v>2566</v>
      </c>
      <c r="C1086" s="51" t="s">
        <v>2607</v>
      </c>
      <c r="D1086" s="580" t="s">
        <v>5240</v>
      </c>
      <c r="E1086" s="174" t="s">
        <v>2452</v>
      </c>
      <c r="F1086" s="174" t="s">
        <v>2615</v>
      </c>
      <c r="G1086" s="174" t="s">
        <v>2588</v>
      </c>
    </row>
    <row r="1087" spans="1:7" ht="14.25" customHeight="1">
      <c r="A1087" s="45">
        <v>1080</v>
      </c>
      <c r="B1087" s="189" t="s">
        <v>2570</v>
      </c>
      <c r="C1087" s="44" t="s">
        <v>2613</v>
      </c>
      <c r="D1087" s="56" t="s">
        <v>4306</v>
      </c>
      <c r="E1087" s="174" t="s">
        <v>2452</v>
      </c>
      <c r="F1087" s="174" t="s">
        <v>2615</v>
      </c>
      <c r="G1087" s="174" t="s">
        <v>2538</v>
      </c>
    </row>
    <row r="1088" spans="1:7" ht="14.25" customHeight="1">
      <c r="A1088" s="45">
        <v>1081</v>
      </c>
      <c r="B1088" s="189" t="s">
        <v>2568</v>
      </c>
      <c r="C1088" s="44" t="s">
        <v>2612</v>
      </c>
      <c r="D1088" s="56" t="s">
        <v>4307</v>
      </c>
      <c r="E1088" s="174" t="s">
        <v>2452</v>
      </c>
      <c r="F1088" s="174" t="s">
        <v>2615</v>
      </c>
      <c r="G1088" s="174" t="s">
        <v>2538</v>
      </c>
    </row>
    <row r="1089" spans="1:7" ht="14.25" customHeight="1">
      <c r="A1089" s="45">
        <v>1082</v>
      </c>
      <c r="B1089" s="189" t="s">
        <v>2567</v>
      </c>
      <c r="C1089" s="44" t="s">
        <v>2609</v>
      </c>
      <c r="D1089" s="56" t="s">
        <v>4304</v>
      </c>
      <c r="E1089" s="174" t="s">
        <v>2452</v>
      </c>
      <c r="F1089" s="174" t="s">
        <v>2615</v>
      </c>
      <c r="G1089" s="174" t="s">
        <v>2538</v>
      </c>
    </row>
    <row r="1090" spans="1:7" ht="14.25" customHeight="1">
      <c r="A1090" s="45">
        <v>1083</v>
      </c>
      <c r="B1090" s="189" t="s">
        <v>2569</v>
      </c>
      <c r="C1090" s="44" t="s">
        <v>2610</v>
      </c>
      <c r="D1090" s="56" t="s">
        <v>4303</v>
      </c>
      <c r="E1090" s="174" t="s">
        <v>2452</v>
      </c>
      <c r="F1090" s="174" t="s">
        <v>2615</v>
      </c>
      <c r="G1090" s="174" t="s">
        <v>2538</v>
      </c>
    </row>
    <row r="1091" spans="1:7" ht="14.25" customHeight="1">
      <c r="A1091" s="45">
        <v>1084</v>
      </c>
      <c r="B1091" s="189" t="s">
        <v>2571</v>
      </c>
      <c r="C1091" s="44" t="s">
        <v>2611</v>
      </c>
      <c r="D1091" s="56" t="s">
        <v>4308</v>
      </c>
      <c r="E1091" s="174" t="s">
        <v>2452</v>
      </c>
      <c r="F1091" s="174" t="s">
        <v>2615</v>
      </c>
      <c r="G1091" s="174" t="s">
        <v>2538</v>
      </c>
    </row>
    <row r="1092" spans="1:7" ht="14.25" customHeight="1">
      <c r="A1092" s="45">
        <v>1085</v>
      </c>
      <c r="B1092" s="189" t="s">
        <v>2572</v>
      </c>
      <c r="C1092" s="44" t="s">
        <v>2614</v>
      </c>
      <c r="D1092" s="56" t="s">
        <v>4305</v>
      </c>
      <c r="E1092" s="174" t="s">
        <v>2452</v>
      </c>
      <c r="F1092" s="174" t="s">
        <v>2615</v>
      </c>
      <c r="G1092" s="174" t="s">
        <v>2538</v>
      </c>
    </row>
    <row r="1093" spans="1:7" ht="14.25" customHeight="1">
      <c r="A1093" s="45">
        <v>1086</v>
      </c>
      <c r="B1093" s="36" t="s">
        <v>1691</v>
      </c>
      <c r="C1093" s="36" t="s">
        <v>1857</v>
      </c>
      <c r="D1093" s="175" t="s">
        <v>2400</v>
      </c>
      <c r="E1093" s="174" t="s">
        <v>2294</v>
      </c>
      <c r="F1093" s="174" t="s">
        <v>2295</v>
      </c>
      <c r="G1093" s="174" t="s">
        <v>2297</v>
      </c>
    </row>
    <row r="1094" spans="1:7" ht="14.25" customHeight="1">
      <c r="A1094" s="45">
        <v>1087</v>
      </c>
      <c r="B1094" s="175" t="s">
        <v>2337</v>
      </c>
      <c r="C1094" s="36" t="s">
        <v>2066</v>
      </c>
      <c r="D1094" s="175" t="s">
        <v>2400</v>
      </c>
      <c r="E1094" s="174" t="s">
        <v>2294</v>
      </c>
      <c r="F1094" s="174" t="s">
        <v>2295</v>
      </c>
      <c r="G1094" s="174" t="s">
        <v>2297</v>
      </c>
    </row>
    <row r="1095" spans="1:7" ht="14.25" customHeight="1">
      <c r="A1095" s="45">
        <v>1088</v>
      </c>
      <c r="B1095" s="36" t="s">
        <v>2315</v>
      </c>
      <c r="C1095" s="36" t="s">
        <v>2040</v>
      </c>
      <c r="D1095" s="175" t="s">
        <v>2400</v>
      </c>
      <c r="E1095" s="174" t="s">
        <v>2294</v>
      </c>
      <c r="F1095" s="174" t="s">
        <v>2295</v>
      </c>
      <c r="G1095" s="174" t="s">
        <v>2296</v>
      </c>
    </row>
    <row r="1096" spans="1:7" ht="14.25" customHeight="1">
      <c r="A1096" s="45">
        <v>1089</v>
      </c>
      <c r="B1096" s="175" t="s">
        <v>2335</v>
      </c>
      <c r="C1096" s="36" t="s">
        <v>2040</v>
      </c>
      <c r="D1096" s="175" t="s">
        <v>2400</v>
      </c>
      <c r="E1096" s="174" t="s">
        <v>2294</v>
      </c>
      <c r="F1096" s="174" t="s">
        <v>2295</v>
      </c>
      <c r="G1096" s="174" t="s">
        <v>2297</v>
      </c>
    </row>
    <row r="1097" spans="1:7" ht="14.25" customHeight="1">
      <c r="A1097" s="45">
        <v>1090</v>
      </c>
      <c r="B1097" s="36" t="s">
        <v>2328</v>
      </c>
      <c r="C1097" s="36" t="s">
        <v>2100</v>
      </c>
      <c r="D1097" s="175" t="s">
        <v>2400</v>
      </c>
      <c r="E1097" s="174" t="s">
        <v>2294</v>
      </c>
      <c r="F1097" s="174" t="s">
        <v>2295</v>
      </c>
      <c r="G1097" s="174" t="s">
        <v>2297</v>
      </c>
    </row>
    <row r="1098" spans="1:7" ht="14.25" customHeight="1">
      <c r="A1098" s="45">
        <v>1091</v>
      </c>
      <c r="B1098" s="36" t="s">
        <v>2318</v>
      </c>
      <c r="C1098" s="36" t="s">
        <v>2068</v>
      </c>
      <c r="D1098" s="175" t="s">
        <v>2400</v>
      </c>
      <c r="E1098" s="174" t="s">
        <v>2294</v>
      </c>
      <c r="F1098" s="174" t="s">
        <v>2295</v>
      </c>
      <c r="G1098" s="174" t="s">
        <v>2297</v>
      </c>
    </row>
    <row r="1099" spans="1:7" ht="14.25" customHeight="1">
      <c r="A1099" s="45">
        <v>1092</v>
      </c>
      <c r="B1099" s="175" t="s">
        <v>2336</v>
      </c>
      <c r="C1099" s="175" t="s">
        <v>2344</v>
      </c>
      <c r="D1099" s="175" t="s">
        <v>2400</v>
      </c>
      <c r="E1099" s="174" t="s">
        <v>2294</v>
      </c>
      <c r="F1099" s="174" t="s">
        <v>2295</v>
      </c>
      <c r="G1099" s="174" t="s">
        <v>2297</v>
      </c>
    </row>
    <row r="1100" spans="1:7" ht="14.25" customHeight="1">
      <c r="A1100" s="45">
        <v>1093</v>
      </c>
      <c r="B1100" s="36" t="s">
        <v>2324</v>
      </c>
      <c r="C1100" s="36" t="s">
        <v>2082</v>
      </c>
      <c r="D1100" s="175" t="s">
        <v>2400</v>
      </c>
      <c r="E1100" s="174" t="s">
        <v>2294</v>
      </c>
      <c r="F1100" s="174" t="s">
        <v>2295</v>
      </c>
      <c r="G1100" s="174" t="s">
        <v>2297</v>
      </c>
    </row>
    <row r="1101" spans="1:7" ht="14.25" customHeight="1">
      <c r="A1101" s="45">
        <v>1094</v>
      </c>
      <c r="B1101" s="36" t="s">
        <v>2326</v>
      </c>
      <c r="C1101" s="36" t="s">
        <v>2090</v>
      </c>
      <c r="D1101" s="175" t="s">
        <v>2400</v>
      </c>
      <c r="E1101" s="174" t="s">
        <v>2294</v>
      </c>
      <c r="F1101" s="174" t="s">
        <v>2295</v>
      </c>
      <c r="G1101" s="174" t="s">
        <v>2297</v>
      </c>
    </row>
    <row r="1102" spans="1:7" ht="14.25" customHeight="1">
      <c r="A1102" s="45">
        <v>1095</v>
      </c>
      <c r="B1102" s="36" t="s">
        <v>2320</v>
      </c>
      <c r="C1102" s="36" t="s">
        <v>2072</v>
      </c>
      <c r="D1102" s="175" t="s">
        <v>2400</v>
      </c>
      <c r="E1102" s="174" t="s">
        <v>2294</v>
      </c>
      <c r="F1102" s="174" t="s">
        <v>2295</v>
      </c>
      <c r="G1102" s="174" t="s">
        <v>2297</v>
      </c>
    </row>
    <row r="1103" spans="1:7" ht="14.25" customHeight="1">
      <c r="A1103" s="45">
        <v>1096</v>
      </c>
      <c r="B1103" s="36" t="s">
        <v>2329</v>
      </c>
      <c r="C1103" s="36" t="s">
        <v>2103</v>
      </c>
      <c r="D1103" s="175" t="s">
        <v>2400</v>
      </c>
      <c r="E1103" s="174" t="s">
        <v>2294</v>
      </c>
      <c r="F1103" s="174" t="s">
        <v>2295</v>
      </c>
      <c r="G1103" s="174" t="s">
        <v>2297</v>
      </c>
    </row>
    <row r="1104" spans="1:7" ht="14.25" customHeight="1">
      <c r="A1104" s="45">
        <v>1097</v>
      </c>
      <c r="B1104" s="36" t="s">
        <v>2330</v>
      </c>
      <c r="C1104" s="36" t="s">
        <v>2105</v>
      </c>
      <c r="D1104" s="175" t="s">
        <v>2400</v>
      </c>
      <c r="E1104" s="174" t="s">
        <v>2294</v>
      </c>
      <c r="F1104" s="174" t="s">
        <v>2295</v>
      </c>
      <c r="G1104" s="174" t="s">
        <v>2297</v>
      </c>
    </row>
    <row r="1105" spans="1:7" ht="14.25" customHeight="1">
      <c r="A1105" s="45">
        <v>1098</v>
      </c>
      <c r="B1105" s="36" t="s">
        <v>7</v>
      </c>
      <c r="C1105" s="36" t="s">
        <v>1079</v>
      </c>
      <c r="D1105" s="175" t="s">
        <v>2400</v>
      </c>
      <c r="E1105" s="174" t="s">
        <v>2294</v>
      </c>
      <c r="F1105" s="174" t="s">
        <v>2295</v>
      </c>
      <c r="G1105" s="174" t="s">
        <v>2297</v>
      </c>
    </row>
    <row r="1106" spans="1:7" ht="14.25" customHeight="1">
      <c r="A1106" s="45">
        <v>1099</v>
      </c>
      <c r="B1106" s="36" t="s">
        <v>2317</v>
      </c>
      <c r="C1106" s="36" t="s">
        <v>2057</v>
      </c>
      <c r="D1106" s="175" t="s">
        <v>2400</v>
      </c>
      <c r="E1106" s="174" t="s">
        <v>2294</v>
      </c>
      <c r="F1106" s="174" t="s">
        <v>2295</v>
      </c>
      <c r="G1106" s="174" t="s">
        <v>2297</v>
      </c>
    </row>
    <row r="1107" spans="1:7" ht="14.25" customHeight="1">
      <c r="A1107" s="45">
        <v>1100</v>
      </c>
      <c r="B1107" s="36" t="s">
        <v>2331</v>
      </c>
      <c r="C1107" s="175" t="s">
        <v>2332</v>
      </c>
      <c r="D1107" s="175" t="s">
        <v>2400</v>
      </c>
      <c r="E1107" s="174" t="s">
        <v>2294</v>
      </c>
      <c r="F1107" s="174" t="s">
        <v>2295</v>
      </c>
      <c r="G1107" s="174" t="s">
        <v>2297</v>
      </c>
    </row>
    <row r="1108" spans="1:7" ht="14.25" customHeight="1">
      <c r="A1108" s="45">
        <v>1101</v>
      </c>
      <c r="B1108" s="55" t="s">
        <v>2809</v>
      </c>
      <c r="C1108" s="55" t="s">
        <v>2810</v>
      </c>
      <c r="D1108" s="175" t="s">
        <v>2400</v>
      </c>
      <c r="E1108" s="174" t="s">
        <v>2294</v>
      </c>
      <c r="F1108" s="174" t="s">
        <v>2295</v>
      </c>
      <c r="G1108" s="174" t="s">
        <v>2297</v>
      </c>
    </row>
    <row r="1109" spans="1:7" ht="14.25" customHeight="1">
      <c r="A1109" s="45">
        <v>1102</v>
      </c>
      <c r="B1109" s="36" t="s">
        <v>2323</v>
      </c>
      <c r="C1109" s="36" t="s">
        <v>2079</v>
      </c>
      <c r="D1109" s="175" t="s">
        <v>2400</v>
      </c>
      <c r="E1109" s="174" t="s">
        <v>2294</v>
      </c>
      <c r="F1109" s="174" t="s">
        <v>2295</v>
      </c>
      <c r="G1109" s="174" t="s">
        <v>2297</v>
      </c>
    </row>
    <row r="1110" spans="1:7" ht="14.25" customHeight="1">
      <c r="A1110" s="45">
        <v>1103</v>
      </c>
      <c r="B1110" s="36" t="s">
        <v>2323</v>
      </c>
      <c r="C1110" s="36" t="s">
        <v>2079</v>
      </c>
      <c r="D1110" s="175" t="s">
        <v>2400</v>
      </c>
      <c r="E1110" s="174" t="s">
        <v>2294</v>
      </c>
      <c r="F1110" s="174" t="s">
        <v>2295</v>
      </c>
      <c r="G1110" s="174" t="s">
        <v>2297</v>
      </c>
    </row>
    <row r="1111" spans="1:7" ht="14.25" customHeight="1">
      <c r="A1111" s="45">
        <v>1104</v>
      </c>
      <c r="B1111" s="175" t="s">
        <v>2343</v>
      </c>
      <c r="C1111" s="36" t="s">
        <v>2079</v>
      </c>
      <c r="D1111" s="175" t="s">
        <v>2400</v>
      </c>
      <c r="E1111" s="174" t="s">
        <v>2294</v>
      </c>
      <c r="F1111" s="174" t="s">
        <v>2295</v>
      </c>
      <c r="G1111" s="174" t="s">
        <v>2297</v>
      </c>
    </row>
    <row r="1112" spans="1:7" ht="14.25" customHeight="1">
      <c r="A1112" s="45">
        <v>1105</v>
      </c>
      <c r="B1112" s="36" t="s">
        <v>2319</v>
      </c>
      <c r="C1112" s="36" t="s">
        <v>2070</v>
      </c>
      <c r="D1112" s="175" t="s">
        <v>2400</v>
      </c>
      <c r="E1112" s="174" t="s">
        <v>2294</v>
      </c>
      <c r="F1112" s="174" t="s">
        <v>2295</v>
      </c>
      <c r="G1112" s="174" t="s">
        <v>2297</v>
      </c>
    </row>
    <row r="1113" spans="1:7" ht="14.25" customHeight="1">
      <c r="A1113" s="45">
        <v>1106</v>
      </c>
      <c r="B1113" s="36" t="s">
        <v>2314</v>
      </c>
      <c r="C1113" s="36" t="s">
        <v>2038</v>
      </c>
      <c r="D1113" s="175" t="s">
        <v>2400</v>
      </c>
      <c r="E1113" s="174" t="s">
        <v>2294</v>
      </c>
      <c r="F1113" s="174" t="s">
        <v>2295</v>
      </c>
      <c r="G1113" s="174" t="s">
        <v>2296</v>
      </c>
    </row>
    <row r="1114" spans="1:7" ht="14.25" customHeight="1">
      <c r="A1114" s="45">
        <v>1107</v>
      </c>
      <c r="B1114" s="36" t="s">
        <v>2333</v>
      </c>
      <c r="C1114" s="36" t="s">
        <v>2092</v>
      </c>
      <c r="D1114" s="175" t="s">
        <v>2400</v>
      </c>
      <c r="E1114" s="174" t="s">
        <v>2294</v>
      </c>
      <c r="F1114" s="174" t="s">
        <v>2295</v>
      </c>
      <c r="G1114" s="174" t="s">
        <v>2297</v>
      </c>
    </row>
    <row r="1115" spans="1:7" ht="14.25" customHeight="1">
      <c r="A1115" s="45">
        <v>1108</v>
      </c>
      <c r="B1115" s="36" t="s">
        <v>2333</v>
      </c>
      <c r="C1115" s="36" t="s">
        <v>2092</v>
      </c>
      <c r="D1115" s="175" t="s">
        <v>2400</v>
      </c>
      <c r="E1115" s="174" t="s">
        <v>2294</v>
      </c>
      <c r="F1115" s="174" t="s">
        <v>2295</v>
      </c>
      <c r="G1115" s="174" t="s">
        <v>2297</v>
      </c>
    </row>
    <row r="1116" spans="1:7" ht="14.25" customHeight="1">
      <c r="A1116" s="45">
        <v>1109</v>
      </c>
      <c r="B1116" s="36" t="s">
        <v>2327</v>
      </c>
      <c r="C1116" s="36" t="s">
        <v>2096</v>
      </c>
      <c r="D1116" s="175" t="s">
        <v>2400</v>
      </c>
      <c r="E1116" s="174" t="s">
        <v>2294</v>
      </c>
      <c r="F1116" s="174" t="s">
        <v>2295</v>
      </c>
      <c r="G1116" s="174" t="s">
        <v>2297</v>
      </c>
    </row>
    <row r="1117" spans="1:7" ht="14.25" customHeight="1">
      <c r="A1117" s="45">
        <v>1110</v>
      </c>
      <c r="B1117" s="36" t="s">
        <v>2321</v>
      </c>
      <c r="C1117" s="36" t="s">
        <v>2076</v>
      </c>
      <c r="D1117" s="175" t="s">
        <v>2400</v>
      </c>
      <c r="E1117" s="174" t="s">
        <v>2294</v>
      </c>
      <c r="F1117" s="174" t="s">
        <v>2295</v>
      </c>
      <c r="G1117" s="174" t="s">
        <v>2297</v>
      </c>
    </row>
    <row r="1118" spans="1:7" ht="14.25" customHeight="1">
      <c r="A1118" s="45">
        <v>1111</v>
      </c>
      <c r="B1118" s="36" t="s">
        <v>2316</v>
      </c>
      <c r="C1118" s="55" t="s">
        <v>2816</v>
      </c>
      <c r="D1118" s="175" t="s">
        <v>2400</v>
      </c>
      <c r="E1118" s="174" t="s">
        <v>2294</v>
      </c>
      <c r="F1118" s="174" t="s">
        <v>2295</v>
      </c>
      <c r="G1118" s="174" t="s">
        <v>2297</v>
      </c>
    </row>
    <row r="1119" spans="1:7" ht="14.25" customHeight="1">
      <c r="A1119" s="45">
        <v>1112</v>
      </c>
      <c r="B1119" s="36" t="s">
        <v>2325</v>
      </c>
      <c r="C1119" s="36" t="s">
        <v>2089</v>
      </c>
      <c r="D1119" s="175" t="s">
        <v>2400</v>
      </c>
      <c r="E1119" s="174" t="s">
        <v>2294</v>
      </c>
      <c r="F1119" s="174" t="s">
        <v>2295</v>
      </c>
      <c r="G1119" s="174" t="s">
        <v>2297</v>
      </c>
    </row>
    <row r="1120" spans="1:7" ht="14.25" customHeight="1">
      <c r="A1120" s="45">
        <v>1113</v>
      </c>
      <c r="B1120" s="36" t="s">
        <v>2322</v>
      </c>
      <c r="C1120" s="36" t="s">
        <v>2078</v>
      </c>
      <c r="D1120" s="175" t="s">
        <v>2400</v>
      </c>
      <c r="E1120" s="174" t="s">
        <v>2294</v>
      </c>
      <c r="F1120" s="174" t="s">
        <v>2295</v>
      </c>
      <c r="G1120" s="174" t="s">
        <v>2297</v>
      </c>
    </row>
    <row r="1121" spans="1:7" ht="14.25" customHeight="1">
      <c r="A1121" s="45">
        <v>1114</v>
      </c>
      <c r="B1121" s="175" t="s">
        <v>2342</v>
      </c>
      <c r="C1121" s="36" t="s">
        <v>2098</v>
      </c>
      <c r="D1121" s="175" t="s">
        <v>2400</v>
      </c>
      <c r="E1121" s="174" t="s">
        <v>2294</v>
      </c>
      <c r="F1121" s="174" t="s">
        <v>2295</v>
      </c>
      <c r="G1121" s="174" t="s">
        <v>2297</v>
      </c>
    </row>
    <row r="1122" spans="1:7" ht="14.25" customHeight="1">
      <c r="A1122" s="45">
        <v>1115</v>
      </c>
      <c r="B1122" s="175" t="s">
        <v>2339</v>
      </c>
      <c r="C1122" s="36" t="s">
        <v>2080</v>
      </c>
      <c r="D1122" s="175" t="s">
        <v>2400</v>
      </c>
      <c r="E1122" s="174" t="s">
        <v>2294</v>
      </c>
      <c r="F1122" s="174" t="s">
        <v>2295</v>
      </c>
      <c r="G1122" s="174" t="s">
        <v>2297</v>
      </c>
    </row>
    <row r="1123" spans="1:7" ht="14.25" customHeight="1">
      <c r="A1123" s="45">
        <v>1116</v>
      </c>
      <c r="B1123" s="175" t="s">
        <v>2338</v>
      </c>
      <c r="C1123" s="36" t="s">
        <v>2074</v>
      </c>
      <c r="D1123" s="175" t="s">
        <v>2400</v>
      </c>
      <c r="E1123" s="174" t="s">
        <v>2294</v>
      </c>
      <c r="F1123" s="174" t="s">
        <v>2295</v>
      </c>
      <c r="G1123" s="174" t="s">
        <v>2297</v>
      </c>
    </row>
    <row r="1124" spans="1:7" ht="14.25" customHeight="1">
      <c r="A1124" s="45">
        <v>1117</v>
      </c>
      <c r="B1124" s="36" t="s">
        <v>2064</v>
      </c>
      <c r="C1124" s="36" t="s">
        <v>2064</v>
      </c>
      <c r="D1124" s="175" t="s">
        <v>2400</v>
      </c>
      <c r="E1124" s="174" t="s">
        <v>2294</v>
      </c>
      <c r="F1124" s="174" t="s">
        <v>2295</v>
      </c>
      <c r="G1124" s="174" t="s">
        <v>2297</v>
      </c>
    </row>
    <row r="1125" spans="1:7" ht="14.25" customHeight="1">
      <c r="A1125" s="45">
        <v>1118</v>
      </c>
      <c r="B1125" s="36" t="s">
        <v>2334</v>
      </c>
      <c r="C1125" s="36" t="s">
        <v>2094</v>
      </c>
      <c r="D1125" s="175" t="s">
        <v>2400</v>
      </c>
      <c r="E1125" s="174" t="s">
        <v>2294</v>
      </c>
      <c r="F1125" s="174" t="s">
        <v>2295</v>
      </c>
      <c r="G1125" s="174" t="s">
        <v>2297</v>
      </c>
    </row>
    <row r="1126" spans="1:7" ht="14.25" customHeight="1">
      <c r="A1126" s="45">
        <v>1119</v>
      </c>
      <c r="B1126" s="175" t="s">
        <v>2341</v>
      </c>
      <c r="C1126" s="36" t="s">
        <v>2091</v>
      </c>
      <c r="D1126" s="175" t="s">
        <v>2400</v>
      </c>
      <c r="E1126" s="174" t="s">
        <v>2294</v>
      </c>
      <c r="F1126" s="174" t="s">
        <v>2295</v>
      </c>
      <c r="G1126" s="174" t="s">
        <v>2297</v>
      </c>
    </row>
    <row r="1127" spans="1:7" ht="14.25" customHeight="1">
      <c r="A1127" s="45">
        <v>1120</v>
      </c>
      <c r="B1127" s="175" t="s">
        <v>2340</v>
      </c>
      <c r="C1127" s="36" t="s">
        <v>2086</v>
      </c>
      <c r="D1127" s="175" t="s">
        <v>2400</v>
      </c>
      <c r="E1127" s="174" t="s">
        <v>2294</v>
      </c>
      <c r="F1127" s="174" t="s">
        <v>2295</v>
      </c>
      <c r="G1127" s="174" t="s">
        <v>2297</v>
      </c>
    </row>
    <row r="1128" spans="1:7" ht="14.25" customHeight="1">
      <c r="A1128" s="45">
        <v>1121</v>
      </c>
      <c r="B1128" s="50" t="s">
        <v>2346</v>
      </c>
      <c r="C1128" s="50" t="s">
        <v>2116</v>
      </c>
      <c r="D1128" s="176" t="s">
        <v>2400</v>
      </c>
      <c r="E1128" s="174" t="s">
        <v>2294</v>
      </c>
      <c r="F1128" s="174" t="s">
        <v>2295</v>
      </c>
      <c r="G1128" s="174" t="s">
        <v>2298</v>
      </c>
    </row>
    <row r="1129" spans="1:7" ht="14.25" customHeight="1">
      <c r="A1129" s="45">
        <v>1122</v>
      </c>
      <c r="B1129" s="50" t="s">
        <v>2345</v>
      </c>
      <c r="C1129" s="50" t="s">
        <v>2062</v>
      </c>
      <c r="D1129" s="176" t="s">
        <v>2400</v>
      </c>
      <c r="E1129" s="174" t="s">
        <v>2294</v>
      </c>
      <c r="F1129" s="174" t="s">
        <v>2295</v>
      </c>
      <c r="G1129" s="174" t="s">
        <v>2298</v>
      </c>
    </row>
    <row r="1130" spans="1:7" ht="14.25" customHeight="1">
      <c r="A1130" s="45">
        <v>1123</v>
      </c>
      <c r="B1130" s="50" t="s">
        <v>2345</v>
      </c>
      <c r="C1130" s="50" t="s">
        <v>2062</v>
      </c>
      <c r="D1130" s="176" t="s">
        <v>2400</v>
      </c>
      <c r="E1130" s="174" t="s">
        <v>2294</v>
      </c>
      <c r="F1130" s="174" t="s">
        <v>2295</v>
      </c>
      <c r="G1130" s="174" t="s">
        <v>2298</v>
      </c>
    </row>
    <row r="1131" spans="1:7" ht="14.25" customHeight="1">
      <c r="A1131" s="45">
        <v>1124</v>
      </c>
      <c r="B1131" s="50" t="s">
        <v>2360</v>
      </c>
      <c r="C1131" s="50" t="s">
        <v>2154</v>
      </c>
      <c r="D1131" s="176" t="s">
        <v>2400</v>
      </c>
      <c r="E1131" s="174" t="s">
        <v>2294</v>
      </c>
      <c r="F1131" s="174" t="s">
        <v>2295</v>
      </c>
      <c r="G1131" s="174" t="s">
        <v>2298</v>
      </c>
    </row>
    <row r="1132" spans="1:7" ht="14.25" customHeight="1">
      <c r="A1132" s="45">
        <v>1125</v>
      </c>
      <c r="B1132" s="50" t="s">
        <v>2355</v>
      </c>
      <c r="C1132" s="50" t="s">
        <v>2140</v>
      </c>
      <c r="D1132" s="176" t="s">
        <v>2400</v>
      </c>
      <c r="E1132" s="174" t="s">
        <v>2294</v>
      </c>
      <c r="F1132" s="174" t="s">
        <v>2295</v>
      </c>
      <c r="G1132" s="174" t="s">
        <v>2298</v>
      </c>
    </row>
    <row r="1133" spans="1:7" ht="14.25" customHeight="1">
      <c r="A1133" s="45">
        <v>1126</v>
      </c>
      <c r="B1133" s="176" t="s">
        <v>2365</v>
      </c>
      <c r="C1133" s="50" t="s">
        <v>2109</v>
      </c>
      <c r="D1133" s="176" t="s">
        <v>2400</v>
      </c>
      <c r="E1133" s="174" t="s">
        <v>2294</v>
      </c>
      <c r="F1133" s="174" t="s">
        <v>2295</v>
      </c>
      <c r="G1133" s="174" t="s">
        <v>2298</v>
      </c>
    </row>
    <row r="1134" spans="1:7" ht="14.25" customHeight="1">
      <c r="A1134" s="45">
        <v>1127</v>
      </c>
      <c r="B1134" s="50" t="s">
        <v>2357</v>
      </c>
      <c r="C1134" s="50" t="s">
        <v>2148</v>
      </c>
      <c r="D1134" s="176" t="s">
        <v>2400</v>
      </c>
      <c r="E1134" s="174" t="s">
        <v>2294</v>
      </c>
      <c r="F1134" s="174" t="s">
        <v>2295</v>
      </c>
      <c r="G1134" s="174" t="s">
        <v>2298</v>
      </c>
    </row>
    <row r="1135" spans="1:7" ht="14.25" customHeight="1">
      <c r="A1135" s="45">
        <v>1128</v>
      </c>
      <c r="B1135" s="50" t="s">
        <v>2358</v>
      </c>
      <c r="C1135" s="50" t="s">
        <v>2150</v>
      </c>
      <c r="D1135" s="176" t="s">
        <v>2400</v>
      </c>
      <c r="E1135" s="174" t="s">
        <v>2294</v>
      </c>
      <c r="F1135" s="174" t="s">
        <v>2295</v>
      </c>
      <c r="G1135" s="174" t="s">
        <v>2298</v>
      </c>
    </row>
    <row r="1136" spans="1:7" ht="14.25" customHeight="1">
      <c r="A1136" s="45">
        <v>1129</v>
      </c>
      <c r="B1136" s="176" t="s">
        <v>2366</v>
      </c>
      <c r="C1136" s="50" t="s">
        <v>2114</v>
      </c>
      <c r="D1136" s="176" t="s">
        <v>2400</v>
      </c>
      <c r="E1136" s="174" t="s">
        <v>2294</v>
      </c>
      <c r="F1136" s="174" t="s">
        <v>2295</v>
      </c>
      <c r="G1136" s="174" t="s">
        <v>2298</v>
      </c>
    </row>
    <row r="1137" spans="1:7" ht="14.25" customHeight="1">
      <c r="A1137" s="45">
        <v>1130</v>
      </c>
      <c r="B1137" s="50" t="s">
        <v>2354</v>
      </c>
      <c r="C1137" s="50" t="s">
        <v>2139</v>
      </c>
      <c r="D1137" s="176" t="s">
        <v>2400</v>
      </c>
      <c r="E1137" s="174" t="s">
        <v>2294</v>
      </c>
      <c r="F1137" s="174" t="s">
        <v>2295</v>
      </c>
      <c r="G1137" s="174" t="s">
        <v>2298</v>
      </c>
    </row>
    <row r="1138" spans="1:7" ht="14.25" customHeight="1">
      <c r="A1138" s="45">
        <v>1131</v>
      </c>
      <c r="B1138" s="50" t="s">
        <v>2362</v>
      </c>
      <c r="C1138" s="50" t="s">
        <v>2160</v>
      </c>
      <c r="D1138" s="176" t="s">
        <v>2400</v>
      </c>
      <c r="E1138" s="174" t="s">
        <v>2294</v>
      </c>
      <c r="F1138" s="174" t="s">
        <v>2295</v>
      </c>
      <c r="G1138" s="174" t="s">
        <v>2298</v>
      </c>
    </row>
    <row r="1139" spans="1:7" ht="14.25" customHeight="1">
      <c r="A1139" s="45">
        <v>1132</v>
      </c>
      <c r="B1139" s="50" t="s">
        <v>2353</v>
      </c>
      <c r="C1139" s="50" t="s">
        <v>2135</v>
      </c>
      <c r="D1139" s="176" t="s">
        <v>2400</v>
      </c>
      <c r="E1139" s="174" t="s">
        <v>2294</v>
      </c>
      <c r="F1139" s="174" t="s">
        <v>2295</v>
      </c>
      <c r="G1139" s="174" t="s">
        <v>2298</v>
      </c>
    </row>
    <row r="1140" spans="1:7" ht="14.25" customHeight="1">
      <c r="A1140" s="45">
        <v>1133</v>
      </c>
      <c r="B1140" s="50" t="s">
        <v>2353</v>
      </c>
      <c r="C1140" s="50" t="s">
        <v>2135</v>
      </c>
      <c r="D1140" s="176" t="s">
        <v>2400</v>
      </c>
      <c r="E1140" s="174" t="s">
        <v>2294</v>
      </c>
      <c r="F1140" s="174" t="s">
        <v>2295</v>
      </c>
      <c r="G1140" s="174" t="s">
        <v>2298</v>
      </c>
    </row>
    <row r="1141" spans="1:7" ht="14.25" customHeight="1">
      <c r="A1141" s="45">
        <v>1134</v>
      </c>
      <c r="B1141" s="50" t="s">
        <v>2143</v>
      </c>
      <c r="C1141" s="50" t="s">
        <v>2143</v>
      </c>
      <c r="D1141" s="176" t="s">
        <v>2400</v>
      </c>
      <c r="E1141" s="174" t="s">
        <v>2294</v>
      </c>
      <c r="F1141" s="174" t="s">
        <v>2295</v>
      </c>
      <c r="G1141" s="174" t="s">
        <v>2298</v>
      </c>
    </row>
    <row r="1142" spans="1:7" ht="14.25" customHeight="1">
      <c r="A1142" s="45">
        <v>1135</v>
      </c>
      <c r="B1142" s="50" t="s">
        <v>2352</v>
      </c>
      <c r="C1142" s="50" t="s">
        <v>2133</v>
      </c>
      <c r="D1142" s="176" t="s">
        <v>2400</v>
      </c>
      <c r="E1142" s="174" t="s">
        <v>2294</v>
      </c>
      <c r="F1142" s="174" t="s">
        <v>2295</v>
      </c>
      <c r="G1142" s="174" t="s">
        <v>2298</v>
      </c>
    </row>
    <row r="1143" spans="1:7" ht="14.25" customHeight="1">
      <c r="A1143" s="45">
        <v>1136</v>
      </c>
      <c r="B1143" s="50" t="s">
        <v>2349</v>
      </c>
      <c r="C1143" s="50" t="s">
        <v>2122</v>
      </c>
      <c r="D1143" s="176" t="s">
        <v>2400</v>
      </c>
      <c r="E1143" s="174" t="s">
        <v>2294</v>
      </c>
      <c r="F1143" s="174" t="s">
        <v>2295</v>
      </c>
      <c r="G1143" s="174" t="s">
        <v>2298</v>
      </c>
    </row>
    <row r="1144" spans="1:7" ht="14.25" customHeight="1">
      <c r="A1144" s="45">
        <v>1137</v>
      </c>
      <c r="B1144" s="50" t="s">
        <v>2350</v>
      </c>
      <c r="C1144" s="50" t="s">
        <v>2125</v>
      </c>
      <c r="D1144" s="176" t="s">
        <v>2400</v>
      </c>
      <c r="E1144" s="174" t="s">
        <v>2294</v>
      </c>
      <c r="F1144" s="174" t="s">
        <v>2295</v>
      </c>
      <c r="G1144" s="174" t="s">
        <v>2298</v>
      </c>
    </row>
    <row r="1145" spans="1:7" ht="14.25" customHeight="1">
      <c r="A1145" s="45">
        <v>1138</v>
      </c>
      <c r="B1145" s="50" t="s">
        <v>2361</v>
      </c>
      <c r="C1145" s="50" t="s">
        <v>2156</v>
      </c>
      <c r="D1145" s="176" t="s">
        <v>2400</v>
      </c>
      <c r="E1145" s="174" t="s">
        <v>2294</v>
      </c>
      <c r="F1145" s="174" t="s">
        <v>2295</v>
      </c>
      <c r="G1145" s="174" t="s">
        <v>2298</v>
      </c>
    </row>
    <row r="1146" spans="1:7" ht="14.25" customHeight="1">
      <c r="A1146" s="45">
        <v>1139</v>
      </c>
      <c r="B1146" s="50" t="s">
        <v>2363</v>
      </c>
      <c r="C1146" s="50" t="s">
        <v>2163</v>
      </c>
      <c r="D1146" s="176" t="s">
        <v>2400</v>
      </c>
      <c r="E1146" s="174" t="s">
        <v>2294</v>
      </c>
      <c r="F1146" s="174" t="s">
        <v>2295</v>
      </c>
      <c r="G1146" s="174" t="s">
        <v>2298</v>
      </c>
    </row>
    <row r="1147" spans="1:7" ht="14.25" customHeight="1">
      <c r="A1147" s="45">
        <v>1140</v>
      </c>
      <c r="B1147" s="50" t="s">
        <v>2356</v>
      </c>
      <c r="C1147" s="50" t="s">
        <v>2145</v>
      </c>
      <c r="D1147" s="176" t="s">
        <v>2400</v>
      </c>
      <c r="E1147" s="174" t="s">
        <v>2294</v>
      </c>
      <c r="F1147" s="174" t="s">
        <v>2295</v>
      </c>
      <c r="G1147" s="174" t="s">
        <v>2298</v>
      </c>
    </row>
    <row r="1148" spans="1:7" ht="14.25" customHeight="1">
      <c r="A1148" s="45">
        <v>1141</v>
      </c>
      <c r="B1148" s="50" t="s">
        <v>2348</v>
      </c>
      <c r="C1148" s="50" t="s">
        <v>2120</v>
      </c>
      <c r="D1148" s="176" t="s">
        <v>2400</v>
      </c>
      <c r="E1148" s="174" t="s">
        <v>2294</v>
      </c>
      <c r="F1148" s="174" t="s">
        <v>2295</v>
      </c>
      <c r="G1148" s="174" t="s">
        <v>2298</v>
      </c>
    </row>
    <row r="1149" spans="1:7" ht="14.25" customHeight="1">
      <c r="A1149" s="45">
        <v>1142</v>
      </c>
      <c r="B1149" s="50" t="s">
        <v>2359</v>
      </c>
      <c r="C1149" s="50" t="s">
        <v>2152</v>
      </c>
      <c r="D1149" s="176" t="s">
        <v>2400</v>
      </c>
      <c r="E1149" s="174" t="s">
        <v>2294</v>
      </c>
      <c r="F1149" s="174" t="s">
        <v>2295</v>
      </c>
      <c r="G1149" s="174" t="s">
        <v>2298</v>
      </c>
    </row>
    <row r="1150" spans="1:7" ht="14.25" customHeight="1">
      <c r="A1150" s="45">
        <v>1143</v>
      </c>
      <c r="B1150" s="50" t="s">
        <v>2347</v>
      </c>
      <c r="C1150" s="50" t="s">
        <v>2118</v>
      </c>
      <c r="D1150" s="176" t="s">
        <v>2400</v>
      </c>
      <c r="E1150" s="174" t="s">
        <v>2294</v>
      </c>
      <c r="F1150" s="174" t="s">
        <v>2295</v>
      </c>
      <c r="G1150" s="174" t="s">
        <v>2298</v>
      </c>
    </row>
    <row r="1151" spans="1:7" ht="14.25" customHeight="1">
      <c r="A1151" s="45">
        <v>1144</v>
      </c>
      <c r="B1151" s="50" t="s">
        <v>2364</v>
      </c>
      <c r="C1151" s="50" t="s">
        <v>2165</v>
      </c>
      <c r="D1151" s="176" t="s">
        <v>2400</v>
      </c>
      <c r="E1151" s="174" t="s">
        <v>2294</v>
      </c>
      <c r="F1151" s="174" t="s">
        <v>2295</v>
      </c>
      <c r="G1151" s="174" t="s">
        <v>2298</v>
      </c>
    </row>
    <row r="1152" spans="1:7" ht="14.25" customHeight="1">
      <c r="A1152" s="45">
        <v>1145</v>
      </c>
      <c r="B1152" s="50" t="s">
        <v>2351</v>
      </c>
      <c r="C1152" s="50" t="s">
        <v>2126</v>
      </c>
      <c r="D1152" s="176" t="s">
        <v>2400</v>
      </c>
      <c r="E1152" s="174" t="s">
        <v>2294</v>
      </c>
      <c r="F1152" s="174" t="s">
        <v>2295</v>
      </c>
      <c r="G1152" s="174" t="s">
        <v>2298</v>
      </c>
    </row>
    <row r="1153" spans="1:7" ht="14.25" customHeight="1">
      <c r="A1153" s="45">
        <v>1146</v>
      </c>
      <c r="B1153" s="259" t="s">
        <v>2375</v>
      </c>
      <c r="C1153" s="254" t="s">
        <v>2179</v>
      </c>
      <c r="D1153" s="259" t="s">
        <v>2400</v>
      </c>
      <c r="E1153" s="174" t="s">
        <v>2294</v>
      </c>
      <c r="F1153" s="174" t="s">
        <v>2295</v>
      </c>
      <c r="G1153" s="174" t="s">
        <v>2300</v>
      </c>
    </row>
    <row r="1154" spans="1:7" ht="14.25" customHeight="1">
      <c r="A1154" s="45">
        <v>1147</v>
      </c>
      <c r="B1154" s="259" t="s">
        <v>2371</v>
      </c>
      <c r="C1154" s="254" t="s">
        <v>2169</v>
      </c>
      <c r="D1154" s="259" t="s">
        <v>2400</v>
      </c>
      <c r="E1154" s="174" t="s">
        <v>2294</v>
      </c>
      <c r="F1154" s="174" t="s">
        <v>2295</v>
      </c>
      <c r="G1154" s="174" t="s">
        <v>2299</v>
      </c>
    </row>
    <row r="1155" spans="1:7" ht="14.25" customHeight="1">
      <c r="A1155" s="45">
        <v>1148</v>
      </c>
      <c r="B1155" s="259" t="s">
        <v>2376</v>
      </c>
      <c r="C1155" s="254" t="s">
        <v>2185</v>
      </c>
      <c r="D1155" s="259" t="s">
        <v>2400</v>
      </c>
      <c r="E1155" s="174" t="s">
        <v>2294</v>
      </c>
      <c r="F1155" s="174" t="s">
        <v>2295</v>
      </c>
      <c r="G1155" s="174" t="s">
        <v>2300</v>
      </c>
    </row>
    <row r="1156" spans="1:7" ht="14.25" customHeight="1">
      <c r="A1156" s="45">
        <v>1149</v>
      </c>
      <c r="B1156" s="259" t="s">
        <v>2372</v>
      </c>
      <c r="C1156" s="254" t="s">
        <v>2171</v>
      </c>
      <c r="D1156" s="259" t="s">
        <v>2400</v>
      </c>
      <c r="E1156" s="174" t="s">
        <v>2294</v>
      </c>
      <c r="F1156" s="174" t="s">
        <v>2295</v>
      </c>
      <c r="G1156" s="174" t="s">
        <v>2300</v>
      </c>
    </row>
    <row r="1157" spans="1:7" ht="14.25" customHeight="1">
      <c r="A1157" s="45">
        <v>1150</v>
      </c>
      <c r="B1157" s="259" t="s">
        <v>2373</v>
      </c>
      <c r="C1157" s="254" t="s">
        <v>2177</v>
      </c>
      <c r="D1157" s="259" t="s">
        <v>2400</v>
      </c>
      <c r="E1157" s="174" t="s">
        <v>2294</v>
      </c>
      <c r="F1157" s="174" t="s">
        <v>2295</v>
      </c>
      <c r="G1157" s="174" t="s">
        <v>2300</v>
      </c>
    </row>
    <row r="1158" spans="1:7" ht="14.25" customHeight="1">
      <c r="A1158" s="45">
        <v>1151</v>
      </c>
      <c r="B1158" s="259" t="s">
        <v>2370</v>
      </c>
      <c r="C1158" s="254" t="s">
        <v>2167</v>
      </c>
      <c r="D1158" s="259" t="s">
        <v>2400</v>
      </c>
      <c r="E1158" s="174" t="s">
        <v>2294</v>
      </c>
      <c r="F1158" s="174" t="s">
        <v>2295</v>
      </c>
      <c r="G1158" s="174" t="s">
        <v>2299</v>
      </c>
    </row>
    <row r="1159" spans="1:7" ht="14.25" customHeight="1">
      <c r="A1159" s="45">
        <v>1152</v>
      </c>
      <c r="B1159" s="259" t="s">
        <v>2377</v>
      </c>
      <c r="C1159" s="254" t="s">
        <v>2191</v>
      </c>
      <c r="D1159" s="259" t="s">
        <v>2400</v>
      </c>
      <c r="E1159" s="174" t="s">
        <v>2294</v>
      </c>
      <c r="F1159" s="174" t="s">
        <v>2295</v>
      </c>
      <c r="G1159" s="174" t="s">
        <v>2401</v>
      </c>
    </row>
    <row r="1160" spans="1:7" ht="14.25" customHeight="1">
      <c r="A1160" s="45">
        <v>1153</v>
      </c>
      <c r="B1160" s="178" t="s">
        <v>2402</v>
      </c>
      <c r="C1160" s="51" t="s">
        <v>2195</v>
      </c>
      <c r="D1160" s="178" t="s">
        <v>2400</v>
      </c>
      <c r="E1160" s="174" t="s">
        <v>2294</v>
      </c>
      <c r="F1160" s="174" t="s">
        <v>2295</v>
      </c>
      <c r="G1160" s="174" t="s">
        <v>2301</v>
      </c>
    </row>
    <row r="1161" spans="1:7" ht="14.25" customHeight="1">
      <c r="A1161" s="45">
        <v>1154</v>
      </c>
      <c r="B1161" s="178" t="s">
        <v>2380</v>
      </c>
      <c r="C1161" s="51" t="s">
        <v>2199</v>
      </c>
      <c r="D1161" s="178" t="s">
        <v>2400</v>
      </c>
      <c r="E1161" s="174" t="s">
        <v>2294</v>
      </c>
      <c r="F1161" s="174" t="s">
        <v>2295</v>
      </c>
      <c r="G1161" s="174" t="s">
        <v>2302</v>
      </c>
    </row>
    <row r="1162" spans="1:7" ht="14.25" customHeight="1">
      <c r="A1162" s="45">
        <v>1155</v>
      </c>
      <c r="B1162" s="178" t="s">
        <v>2378</v>
      </c>
      <c r="C1162" s="51" t="s">
        <v>2193</v>
      </c>
      <c r="D1162" s="178" t="s">
        <v>2400</v>
      </c>
      <c r="E1162" s="174" t="s">
        <v>2294</v>
      </c>
      <c r="F1162" s="174" t="s">
        <v>2295</v>
      </c>
      <c r="G1162" s="174" t="s">
        <v>2301</v>
      </c>
    </row>
    <row r="1163" spans="1:7" ht="14.25" customHeight="1">
      <c r="A1163" s="45">
        <v>1156</v>
      </c>
      <c r="B1163" s="178" t="s">
        <v>2379</v>
      </c>
      <c r="C1163" s="51" t="s">
        <v>2197</v>
      </c>
      <c r="D1163" s="178" t="s">
        <v>2400</v>
      </c>
      <c r="E1163" s="174" t="s">
        <v>2294</v>
      </c>
      <c r="F1163" s="174" t="s">
        <v>2295</v>
      </c>
      <c r="G1163" s="174" t="s">
        <v>2302</v>
      </c>
    </row>
    <row r="1164" spans="1:7" ht="14.25" customHeight="1">
      <c r="A1164" s="45">
        <v>1157</v>
      </c>
      <c r="B1164" s="44" t="s">
        <v>2309</v>
      </c>
      <c r="C1164" s="44" t="s">
        <v>2387</v>
      </c>
      <c r="D1164" s="179" t="s">
        <v>2400</v>
      </c>
      <c r="E1164" s="174" t="s">
        <v>2294</v>
      </c>
      <c r="F1164" s="174" t="s">
        <v>2295</v>
      </c>
      <c r="G1164" s="174" t="s">
        <v>2313</v>
      </c>
    </row>
    <row r="1165" spans="1:7" ht="14.25" customHeight="1">
      <c r="A1165" s="45">
        <v>1158</v>
      </c>
      <c r="B1165" s="44" t="s">
        <v>526</v>
      </c>
      <c r="C1165" s="44" t="s">
        <v>2396</v>
      </c>
      <c r="D1165" s="179" t="s">
        <v>2400</v>
      </c>
      <c r="E1165" s="174" t="s">
        <v>2294</v>
      </c>
      <c r="F1165" s="174" t="s">
        <v>2295</v>
      </c>
      <c r="G1165" s="174" t="s">
        <v>2313</v>
      </c>
    </row>
    <row r="1166" spans="1:7" ht="14.25" customHeight="1">
      <c r="A1166" s="45">
        <v>1159</v>
      </c>
      <c r="B1166" s="44" t="s">
        <v>2305</v>
      </c>
      <c r="C1166" s="44" t="s">
        <v>2383</v>
      </c>
      <c r="D1166" s="179" t="s">
        <v>2400</v>
      </c>
      <c r="E1166" s="174" t="s">
        <v>2294</v>
      </c>
      <c r="F1166" s="174" t="s">
        <v>2295</v>
      </c>
      <c r="G1166" s="174" t="s">
        <v>2313</v>
      </c>
    </row>
    <row r="1167" spans="1:7" ht="14.25" customHeight="1">
      <c r="A1167" s="45">
        <v>1160</v>
      </c>
      <c r="B1167" s="44" t="s">
        <v>2308</v>
      </c>
      <c r="C1167" s="44" t="s">
        <v>2386</v>
      </c>
      <c r="D1167" s="179" t="s">
        <v>2400</v>
      </c>
      <c r="E1167" s="174" t="s">
        <v>2294</v>
      </c>
      <c r="F1167" s="174" t="s">
        <v>2295</v>
      </c>
      <c r="G1167" s="174" t="s">
        <v>2313</v>
      </c>
    </row>
    <row r="1168" spans="1:7" ht="14.25" customHeight="1">
      <c r="A1168" s="45">
        <v>1161</v>
      </c>
      <c r="B1168" s="44" t="s">
        <v>508</v>
      </c>
      <c r="C1168" s="44" t="s">
        <v>508</v>
      </c>
      <c r="D1168" s="179" t="s">
        <v>2400</v>
      </c>
      <c r="E1168" s="174" t="s">
        <v>2294</v>
      </c>
      <c r="F1168" s="174" t="s">
        <v>2295</v>
      </c>
      <c r="G1168" s="174" t="s">
        <v>2313</v>
      </c>
    </row>
    <row r="1169" spans="1:7" ht="14.25" customHeight="1">
      <c r="A1169" s="45">
        <v>1162</v>
      </c>
      <c r="B1169" s="44" t="s">
        <v>536</v>
      </c>
      <c r="C1169" s="44" t="s">
        <v>2399</v>
      </c>
      <c r="D1169" s="179" t="s">
        <v>2400</v>
      </c>
      <c r="E1169" s="174" t="s">
        <v>2294</v>
      </c>
      <c r="F1169" s="174" t="s">
        <v>2295</v>
      </c>
      <c r="G1169" s="174" t="s">
        <v>2313</v>
      </c>
    </row>
    <row r="1170" spans="1:7" ht="14.25" customHeight="1">
      <c r="A1170" s="45">
        <v>1163</v>
      </c>
      <c r="B1170" s="44" t="s">
        <v>521</v>
      </c>
      <c r="C1170" s="44" t="s">
        <v>2395</v>
      </c>
      <c r="D1170" s="179" t="s">
        <v>2400</v>
      </c>
      <c r="E1170" s="174" t="s">
        <v>2294</v>
      </c>
      <c r="F1170" s="174" t="s">
        <v>2295</v>
      </c>
      <c r="G1170" s="174" t="s">
        <v>2313</v>
      </c>
    </row>
    <row r="1171" spans="1:7" ht="14.25" customHeight="1">
      <c r="A1171" s="45">
        <v>1164</v>
      </c>
      <c r="B1171" s="44" t="s">
        <v>519</v>
      </c>
      <c r="C1171" s="44" t="s">
        <v>2394</v>
      </c>
      <c r="D1171" s="179" t="s">
        <v>2400</v>
      </c>
      <c r="E1171" s="174" t="s">
        <v>2294</v>
      </c>
      <c r="F1171" s="174" t="s">
        <v>2295</v>
      </c>
      <c r="G1171" s="174" t="s">
        <v>2313</v>
      </c>
    </row>
    <row r="1172" spans="1:7" ht="14.25" customHeight="1">
      <c r="A1172" s="45">
        <v>1165</v>
      </c>
      <c r="B1172" s="44" t="s">
        <v>2310</v>
      </c>
      <c r="C1172" s="44" t="s">
        <v>2388</v>
      </c>
      <c r="D1172" s="179" t="s">
        <v>2400</v>
      </c>
      <c r="E1172" s="174" t="s">
        <v>2294</v>
      </c>
      <c r="F1172" s="174" t="s">
        <v>2295</v>
      </c>
      <c r="G1172" s="174" t="s">
        <v>2313</v>
      </c>
    </row>
    <row r="1173" spans="1:7" ht="14.25" customHeight="1">
      <c r="A1173" s="45">
        <v>1166</v>
      </c>
      <c r="B1173" s="44" t="s">
        <v>1248</v>
      </c>
      <c r="C1173" s="44" t="s">
        <v>2390</v>
      </c>
      <c r="D1173" s="179" t="s">
        <v>2400</v>
      </c>
      <c r="E1173" s="174" t="s">
        <v>2294</v>
      </c>
      <c r="F1173" s="174" t="s">
        <v>2295</v>
      </c>
      <c r="G1173" s="174" t="s">
        <v>2313</v>
      </c>
    </row>
    <row r="1174" spans="1:7" ht="14.25" customHeight="1">
      <c r="A1174" s="45">
        <v>1167</v>
      </c>
      <c r="B1174" s="44" t="s">
        <v>1250</v>
      </c>
      <c r="C1174" s="44" t="s">
        <v>1426</v>
      </c>
      <c r="D1174" s="179" t="s">
        <v>2400</v>
      </c>
      <c r="E1174" s="174" t="s">
        <v>2294</v>
      </c>
      <c r="F1174" s="174" t="s">
        <v>2295</v>
      </c>
      <c r="G1174" s="174" t="s">
        <v>2313</v>
      </c>
    </row>
    <row r="1175" spans="1:7" ht="14.25" customHeight="1">
      <c r="A1175" s="45">
        <v>1168</v>
      </c>
      <c r="B1175" s="44" t="s">
        <v>1250</v>
      </c>
      <c r="C1175" s="44" t="s">
        <v>1427</v>
      </c>
      <c r="D1175" s="179" t="s">
        <v>2400</v>
      </c>
      <c r="E1175" s="174" t="s">
        <v>2294</v>
      </c>
      <c r="F1175" s="174" t="s">
        <v>2295</v>
      </c>
      <c r="G1175" s="174" t="s">
        <v>2313</v>
      </c>
    </row>
    <row r="1176" spans="1:7" ht="14.25" customHeight="1">
      <c r="A1176" s="45">
        <v>1169</v>
      </c>
      <c r="B1176" s="44" t="s">
        <v>2306</v>
      </c>
      <c r="C1176" s="44" t="s">
        <v>2384</v>
      </c>
      <c r="D1176" s="179" t="s">
        <v>2400</v>
      </c>
      <c r="E1176" s="174" t="s">
        <v>2294</v>
      </c>
      <c r="F1176" s="174" t="s">
        <v>2295</v>
      </c>
      <c r="G1176" s="174" t="s">
        <v>2313</v>
      </c>
    </row>
    <row r="1177" spans="1:7" ht="14.25" customHeight="1">
      <c r="A1177" s="45">
        <v>1170</v>
      </c>
      <c r="B1177" s="44" t="s">
        <v>2311</v>
      </c>
      <c r="C1177" s="44" t="s">
        <v>2389</v>
      </c>
      <c r="D1177" s="179" t="s">
        <v>2400</v>
      </c>
      <c r="E1177" s="174" t="s">
        <v>2294</v>
      </c>
      <c r="F1177" s="174" t="s">
        <v>2295</v>
      </c>
      <c r="G1177" s="174" t="s">
        <v>2313</v>
      </c>
    </row>
    <row r="1178" spans="1:7" ht="14.25" customHeight="1">
      <c r="A1178" s="45">
        <v>1171</v>
      </c>
      <c r="B1178" s="44" t="s">
        <v>2304</v>
      </c>
      <c r="C1178" s="44" t="s">
        <v>2382</v>
      </c>
      <c r="D1178" s="179" t="s">
        <v>2400</v>
      </c>
      <c r="E1178" s="174" t="s">
        <v>2294</v>
      </c>
      <c r="F1178" s="174" t="s">
        <v>2295</v>
      </c>
      <c r="G1178" s="174" t="s">
        <v>2312</v>
      </c>
    </row>
    <row r="1179" spans="1:7" ht="14.25" customHeight="1">
      <c r="A1179" s="45">
        <v>1172</v>
      </c>
      <c r="B1179" s="44" t="s">
        <v>2303</v>
      </c>
      <c r="C1179" s="44" t="s">
        <v>2381</v>
      </c>
      <c r="D1179" s="179" t="s">
        <v>2400</v>
      </c>
      <c r="E1179" s="174" t="s">
        <v>2294</v>
      </c>
      <c r="F1179" s="174" t="s">
        <v>2295</v>
      </c>
      <c r="G1179" s="174" t="s">
        <v>2312</v>
      </c>
    </row>
    <row r="1180" spans="1:7" ht="14.25" customHeight="1">
      <c r="A1180" s="45">
        <v>1173</v>
      </c>
      <c r="B1180" s="44" t="s">
        <v>516</v>
      </c>
      <c r="C1180" s="44" t="s">
        <v>2393</v>
      </c>
      <c r="D1180" s="179" t="s">
        <v>2400</v>
      </c>
      <c r="E1180" s="174" t="s">
        <v>2294</v>
      </c>
      <c r="F1180" s="174" t="s">
        <v>2295</v>
      </c>
      <c r="G1180" s="174" t="s">
        <v>2313</v>
      </c>
    </row>
    <row r="1181" spans="1:7" ht="14.25" customHeight="1">
      <c r="A1181" s="45">
        <v>1174</v>
      </c>
      <c r="B1181" s="44" t="s">
        <v>511</v>
      </c>
      <c r="C1181" s="44" t="s">
        <v>2391</v>
      </c>
      <c r="D1181" s="179" t="s">
        <v>2400</v>
      </c>
      <c r="E1181" s="174" t="s">
        <v>2294</v>
      </c>
      <c r="F1181" s="174" t="s">
        <v>2295</v>
      </c>
      <c r="G1181" s="174" t="s">
        <v>2313</v>
      </c>
    </row>
    <row r="1182" spans="1:7" ht="14.25" customHeight="1">
      <c r="A1182" s="45">
        <v>1175</v>
      </c>
      <c r="B1182" s="44" t="s">
        <v>534</v>
      </c>
      <c r="C1182" s="44" t="s">
        <v>2397</v>
      </c>
      <c r="D1182" s="179" t="s">
        <v>2400</v>
      </c>
      <c r="E1182" s="174" t="s">
        <v>2294</v>
      </c>
      <c r="F1182" s="174" t="s">
        <v>2295</v>
      </c>
      <c r="G1182" s="174" t="s">
        <v>2313</v>
      </c>
    </row>
    <row r="1183" spans="1:7" ht="14.25" customHeight="1">
      <c r="A1183" s="45">
        <v>1176</v>
      </c>
      <c r="B1183" s="44" t="s">
        <v>535</v>
      </c>
      <c r="C1183" s="44" t="s">
        <v>2398</v>
      </c>
      <c r="D1183" s="179" t="s">
        <v>2400</v>
      </c>
      <c r="E1183" s="174" t="s">
        <v>2294</v>
      </c>
      <c r="F1183" s="174" t="s">
        <v>2295</v>
      </c>
      <c r="G1183" s="174" t="s">
        <v>2313</v>
      </c>
    </row>
    <row r="1184" spans="1:7" ht="14.25" customHeight="1">
      <c r="A1184" s="45">
        <v>1177</v>
      </c>
      <c r="B1184" s="44" t="s">
        <v>513</v>
      </c>
      <c r="C1184" s="44" t="s">
        <v>2392</v>
      </c>
      <c r="D1184" s="179" t="s">
        <v>2400</v>
      </c>
      <c r="E1184" s="174" t="s">
        <v>2294</v>
      </c>
      <c r="F1184" s="174" t="s">
        <v>2295</v>
      </c>
      <c r="G1184" s="174" t="s">
        <v>2313</v>
      </c>
    </row>
    <row r="1185" spans="1:7" ht="14.25" customHeight="1">
      <c r="A1185" s="45">
        <v>1178</v>
      </c>
      <c r="B1185" s="44" t="s">
        <v>533</v>
      </c>
      <c r="C1185" s="44" t="s">
        <v>533</v>
      </c>
      <c r="D1185" s="179" t="s">
        <v>2400</v>
      </c>
      <c r="E1185" s="174" t="s">
        <v>2294</v>
      </c>
      <c r="F1185" s="174" t="s">
        <v>2295</v>
      </c>
      <c r="G1185" s="174" t="s">
        <v>2313</v>
      </c>
    </row>
    <row r="1186" spans="1:7" ht="14.25" customHeight="1">
      <c r="A1186" s="45">
        <v>1179</v>
      </c>
      <c r="B1186" s="44" t="s">
        <v>2307</v>
      </c>
      <c r="C1186" s="44" t="s">
        <v>2385</v>
      </c>
      <c r="D1186" s="179" t="s">
        <v>2400</v>
      </c>
      <c r="E1186" s="174" t="s">
        <v>2294</v>
      </c>
      <c r="F1186" s="174" t="s">
        <v>2295</v>
      </c>
      <c r="G1186" s="174" t="s">
        <v>2313</v>
      </c>
    </row>
    <row r="1187" spans="1:7" ht="14.25" customHeight="1">
      <c r="A1187" s="45">
        <v>1180</v>
      </c>
      <c r="B1187" s="44" t="s">
        <v>1249</v>
      </c>
      <c r="C1187" s="44" t="s">
        <v>1425</v>
      </c>
      <c r="D1187" s="179" t="s">
        <v>2400</v>
      </c>
      <c r="E1187" s="174" t="s">
        <v>2294</v>
      </c>
      <c r="F1187" s="174" t="s">
        <v>2295</v>
      </c>
      <c r="G1187" s="174" t="s">
        <v>2313</v>
      </c>
    </row>
    <row r="1188" spans="1:7" ht="14.25" customHeight="1">
      <c r="A1188" s="45">
        <v>1181</v>
      </c>
      <c r="B1188" s="44" t="s">
        <v>524</v>
      </c>
      <c r="C1188" s="44" t="s">
        <v>524</v>
      </c>
      <c r="D1188" s="179" t="s">
        <v>2400</v>
      </c>
      <c r="E1188" s="174" t="s">
        <v>2294</v>
      </c>
      <c r="F1188" s="174" t="s">
        <v>2295</v>
      </c>
      <c r="G1188" s="174" t="s">
        <v>2313</v>
      </c>
    </row>
    <row r="1189" spans="1:7" ht="14.25" customHeight="1">
      <c r="A1189" s="45">
        <v>1182</v>
      </c>
      <c r="B1189" s="177" t="s">
        <v>2406</v>
      </c>
      <c r="C1189" s="68" t="s">
        <v>2112</v>
      </c>
      <c r="D1189" s="177" t="s">
        <v>2400</v>
      </c>
      <c r="E1189" s="174" t="s">
        <v>2294</v>
      </c>
      <c r="F1189" s="174" t="s">
        <v>2295</v>
      </c>
      <c r="G1189" s="174" t="s">
        <v>1489</v>
      </c>
    </row>
    <row r="1190" spans="1:7" ht="14.25" customHeight="1">
      <c r="A1190" s="45">
        <v>1183</v>
      </c>
      <c r="B1190" s="177" t="s">
        <v>2405</v>
      </c>
      <c r="C1190" s="177" t="s">
        <v>2374</v>
      </c>
      <c r="D1190" s="177" t="s">
        <v>2400</v>
      </c>
      <c r="E1190" s="174" t="s">
        <v>2294</v>
      </c>
      <c r="F1190" s="174" t="s">
        <v>2295</v>
      </c>
      <c r="G1190" s="174" t="s">
        <v>1489</v>
      </c>
    </row>
    <row r="1191" spans="1:7" ht="14.25" customHeight="1">
      <c r="A1191" s="45">
        <v>1184</v>
      </c>
      <c r="B1191" s="36" t="s">
        <v>1691</v>
      </c>
      <c r="C1191" s="36" t="s">
        <v>1857</v>
      </c>
      <c r="D1191" s="36" t="s">
        <v>1412</v>
      </c>
      <c r="E1191" s="19" t="s">
        <v>1999</v>
      </c>
      <c r="F1191" s="19" t="s">
        <v>2011</v>
      </c>
      <c r="G1191" s="19" t="s">
        <v>2006</v>
      </c>
    </row>
    <row r="1192" spans="1:7" ht="14.25" customHeight="1">
      <c r="A1192" s="45">
        <v>1185</v>
      </c>
      <c r="B1192" s="36" t="s">
        <v>1693</v>
      </c>
      <c r="C1192" s="36" t="s">
        <v>1859</v>
      </c>
      <c r="D1192" s="36" t="s">
        <v>1412</v>
      </c>
      <c r="E1192" s="19" t="s">
        <v>1999</v>
      </c>
      <c r="F1192" s="19" t="s">
        <v>2011</v>
      </c>
      <c r="G1192" s="19" t="s">
        <v>2006</v>
      </c>
    </row>
    <row r="1193" spans="1:7" ht="14.25" customHeight="1">
      <c r="A1193" s="45">
        <v>1186</v>
      </c>
      <c r="B1193" s="36" t="s">
        <v>1669</v>
      </c>
      <c r="C1193" s="36" t="s">
        <v>1835</v>
      </c>
      <c r="D1193" s="36" t="s">
        <v>1412</v>
      </c>
      <c r="E1193" s="19" t="s">
        <v>1999</v>
      </c>
      <c r="F1193" s="19" t="s">
        <v>2011</v>
      </c>
      <c r="G1193" s="19" t="s">
        <v>2000</v>
      </c>
    </row>
    <row r="1194" spans="1:7" ht="14.25" customHeight="1">
      <c r="A1194" s="45">
        <v>1187</v>
      </c>
      <c r="B1194" s="36" t="s">
        <v>1709</v>
      </c>
      <c r="C1194" s="36" t="s">
        <v>1873</v>
      </c>
      <c r="D1194" s="36" t="s">
        <v>1412</v>
      </c>
      <c r="E1194" s="19" t="s">
        <v>1999</v>
      </c>
      <c r="F1194" s="19" t="s">
        <v>2011</v>
      </c>
      <c r="G1194" s="19" t="s">
        <v>736</v>
      </c>
    </row>
    <row r="1195" spans="1:7" ht="14.25" customHeight="1">
      <c r="A1195" s="45">
        <v>1188</v>
      </c>
      <c r="B1195" s="36" t="s">
        <v>1694</v>
      </c>
      <c r="C1195" s="36" t="s">
        <v>1860</v>
      </c>
      <c r="D1195" s="36" t="s">
        <v>1412</v>
      </c>
      <c r="E1195" s="19" t="s">
        <v>1999</v>
      </c>
      <c r="F1195" s="19" t="s">
        <v>2011</v>
      </c>
      <c r="G1195" s="19" t="s">
        <v>736</v>
      </c>
    </row>
    <row r="1196" spans="1:7" ht="14.25" customHeight="1">
      <c r="A1196" s="45">
        <v>1189</v>
      </c>
      <c r="B1196" s="36" t="s">
        <v>1690</v>
      </c>
      <c r="C1196" s="36" t="s">
        <v>1856</v>
      </c>
      <c r="D1196" s="36" t="s">
        <v>1412</v>
      </c>
      <c r="E1196" s="19" t="s">
        <v>1999</v>
      </c>
      <c r="F1196" s="19" t="s">
        <v>2011</v>
      </c>
      <c r="G1196" s="19" t="s">
        <v>736</v>
      </c>
    </row>
    <row r="1197" spans="1:7" ht="14.25" customHeight="1">
      <c r="A1197" s="45">
        <v>1190</v>
      </c>
      <c r="B1197" s="36" t="s">
        <v>1689</v>
      </c>
      <c r="C1197" s="36" t="s">
        <v>1855</v>
      </c>
      <c r="D1197" s="36" t="s">
        <v>1412</v>
      </c>
      <c r="E1197" s="19" t="s">
        <v>1999</v>
      </c>
      <c r="F1197" s="19" t="s">
        <v>2011</v>
      </c>
      <c r="G1197" s="19" t="s">
        <v>2006</v>
      </c>
    </row>
    <row r="1198" spans="1:7" ht="14.25" customHeight="1">
      <c r="A1198" s="45">
        <v>1191</v>
      </c>
      <c r="B1198" s="36" t="s">
        <v>1688</v>
      </c>
      <c r="C1198" s="36" t="s">
        <v>1854</v>
      </c>
      <c r="D1198" s="36" t="s">
        <v>1412</v>
      </c>
      <c r="E1198" s="19" t="s">
        <v>1999</v>
      </c>
      <c r="F1198" s="19" t="s">
        <v>2011</v>
      </c>
      <c r="G1198" s="19" t="s">
        <v>736</v>
      </c>
    </row>
    <row r="1199" spans="1:7" ht="14.25" customHeight="1">
      <c r="A1199" s="45">
        <v>1192</v>
      </c>
      <c r="B1199" s="36" t="s">
        <v>1695</v>
      </c>
      <c r="C1199" s="36" t="s">
        <v>1861</v>
      </c>
      <c r="D1199" s="36" t="s">
        <v>1412</v>
      </c>
      <c r="E1199" s="19" t="s">
        <v>1999</v>
      </c>
      <c r="F1199" s="19" t="s">
        <v>2011</v>
      </c>
      <c r="G1199" s="19" t="s">
        <v>2006</v>
      </c>
    </row>
    <row r="1200" spans="1:7" ht="14.25" customHeight="1">
      <c r="A1200" s="45">
        <v>1193</v>
      </c>
      <c r="B1200" s="175" t="s">
        <v>2403</v>
      </c>
      <c r="C1200" s="36" t="s">
        <v>1868</v>
      </c>
      <c r="D1200" s="36" t="s">
        <v>1412</v>
      </c>
      <c r="E1200" s="19" t="s">
        <v>1999</v>
      </c>
      <c r="F1200" s="19" t="s">
        <v>2011</v>
      </c>
      <c r="G1200" s="19" t="s">
        <v>736</v>
      </c>
    </row>
    <row r="1201" spans="1:7" ht="14.25" customHeight="1">
      <c r="A1201" s="45">
        <v>1194</v>
      </c>
      <c r="B1201" s="36" t="s">
        <v>1701</v>
      </c>
      <c r="C1201" s="36" t="s">
        <v>1867</v>
      </c>
      <c r="D1201" s="36" t="s">
        <v>1412</v>
      </c>
      <c r="E1201" s="19" t="s">
        <v>1999</v>
      </c>
      <c r="F1201" s="19" t="s">
        <v>2011</v>
      </c>
      <c r="G1201" s="19" t="s">
        <v>2006</v>
      </c>
    </row>
    <row r="1202" spans="1:7" ht="14.25" customHeight="1">
      <c r="A1202" s="45">
        <v>1195</v>
      </c>
      <c r="B1202" s="36" t="s">
        <v>1708</v>
      </c>
      <c r="C1202" s="36" t="s">
        <v>1708</v>
      </c>
      <c r="D1202" s="36" t="s">
        <v>1412</v>
      </c>
      <c r="E1202" s="19" t="s">
        <v>1999</v>
      </c>
      <c r="F1202" s="19" t="s">
        <v>2011</v>
      </c>
      <c r="G1202" s="19" t="s">
        <v>2006</v>
      </c>
    </row>
    <row r="1203" spans="1:7" ht="14.25" customHeight="1">
      <c r="A1203" s="45">
        <v>1196</v>
      </c>
      <c r="B1203" s="36" t="s">
        <v>1704</v>
      </c>
      <c r="C1203" s="36" t="s">
        <v>1704</v>
      </c>
      <c r="D1203" s="36" t="s">
        <v>1412</v>
      </c>
      <c r="E1203" s="19" t="s">
        <v>1999</v>
      </c>
      <c r="F1203" s="19" t="s">
        <v>2011</v>
      </c>
      <c r="G1203" s="19" t="s">
        <v>2006</v>
      </c>
    </row>
    <row r="1204" spans="1:7" ht="14.25" customHeight="1">
      <c r="A1204" s="45">
        <v>1197</v>
      </c>
      <c r="B1204" s="36" t="s">
        <v>1705</v>
      </c>
      <c r="C1204" s="36" t="s">
        <v>1870</v>
      </c>
      <c r="D1204" s="36" t="s">
        <v>1412</v>
      </c>
      <c r="E1204" s="19" t="s">
        <v>1999</v>
      </c>
      <c r="F1204" s="19" t="s">
        <v>2011</v>
      </c>
      <c r="G1204" s="19" t="s">
        <v>736</v>
      </c>
    </row>
    <row r="1205" spans="1:7" ht="14.25" customHeight="1">
      <c r="A1205" s="45">
        <v>1198</v>
      </c>
      <c r="B1205" s="36" t="s">
        <v>1706</v>
      </c>
      <c r="C1205" s="36" t="s">
        <v>1871</v>
      </c>
      <c r="D1205" s="36" t="s">
        <v>1412</v>
      </c>
      <c r="E1205" s="19" t="s">
        <v>1999</v>
      </c>
      <c r="F1205" s="19" t="s">
        <v>2011</v>
      </c>
      <c r="G1205" s="19" t="s">
        <v>2006</v>
      </c>
    </row>
    <row r="1206" spans="1:7" ht="14.25" customHeight="1">
      <c r="A1206" s="45">
        <v>1199</v>
      </c>
      <c r="B1206" s="36" t="s">
        <v>1703</v>
      </c>
      <c r="C1206" s="36" t="s">
        <v>1703</v>
      </c>
      <c r="D1206" s="36" t="s">
        <v>1412</v>
      </c>
      <c r="E1206" s="19" t="s">
        <v>1999</v>
      </c>
      <c r="F1206" s="19" t="s">
        <v>2011</v>
      </c>
      <c r="G1206" s="19" t="s">
        <v>736</v>
      </c>
    </row>
    <row r="1207" spans="1:7" ht="14.25" customHeight="1">
      <c r="A1207" s="45">
        <v>1200</v>
      </c>
      <c r="B1207" s="36" t="s">
        <v>1696</v>
      </c>
      <c r="C1207" s="36" t="s">
        <v>1862</v>
      </c>
      <c r="D1207" s="36" t="s">
        <v>1412</v>
      </c>
      <c r="E1207" s="19" t="s">
        <v>1999</v>
      </c>
      <c r="F1207" s="19" t="s">
        <v>2011</v>
      </c>
      <c r="G1207" s="19" t="s">
        <v>736</v>
      </c>
    </row>
    <row r="1208" spans="1:7" ht="14.25" customHeight="1">
      <c r="A1208" s="45">
        <v>1201</v>
      </c>
      <c r="B1208" s="36" t="s">
        <v>1671</v>
      </c>
      <c r="C1208" s="36" t="s">
        <v>1837</v>
      </c>
      <c r="D1208" s="36" t="s">
        <v>1412</v>
      </c>
      <c r="E1208" s="19" t="s">
        <v>1999</v>
      </c>
      <c r="F1208" s="19" t="s">
        <v>2011</v>
      </c>
      <c r="G1208" s="19" t="s">
        <v>2006</v>
      </c>
    </row>
    <row r="1209" spans="1:7" ht="14.25" customHeight="1">
      <c r="A1209" s="45">
        <v>1202</v>
      </c>
      <c r="B1209" s="36" t="s">
        <v>1672</v>
      </c>
      <c r="C1209" s="36" t="s">
        <v>1838</v>
      </c>
      <c r="D1209" s="36" t="s">
        <v>1412</v>
      </c>
      <c r="E1209" s="19" t="s">
        <v>1999</v>
      </c>
      <c r="F1209" s="19" t="s">
        <v>2011</v>
      </c>
      <c r="G1209" s="19" t="s">
        <v>736</v>
      </c>
    </row>
    <row r="1210" spans="1:7" ht="14.25" customHeight="1">
      <c r="A1210" s="45">
        <v>1203</v>
      </c>
      <c r="B1210" s="36" t="s">
        <v>1673</v>
      </c>
      <c r="C1210" s="36" t="s">
        <v>1839</v>
      </c>
      <c r="D1210" s="36" t="s">
        <v>1412</v>
      </c>
      <c r="E1210" s="19" t="s">
        <v>1999</v>
      </c>
      <c r="F1210" s="19" t="s">
        <v>2011</v>
      </c>
      <c r="G1210" s="19" t="s">
        <v>2006</v>
      </c>
    </row>
    <row r="1211" spans="1:7" ht="14.25" customHeight="1">
      <c r="A1211" s="45">
        <v>1204</v>
      </c>
      <c r="B1211" s="36" t="s">
        <v>1674</v>
      </c>
      <c r="C1211" s="36" t="s">
        <v>1840</v>
      </c>
      <c r="D1211" s="36" t="s">
        <v>1412</v>
      </c>
      <c r="E1211" s="19" t="s">
        <v>1999</v>
      </c>
      <c r="F1211" s="19" t="s">
        <v>2011</v>
      </c>
      <c r="G1211" s="19" t="s">
        <v>736</v>
      </c>
    </row>
    <row r="1212" spans="1:7" ht="14.25" customHeight="1">
      <c r="A1212" s="45">
        <v>1205</v>
      </c>
      <c r="B1212" s="36" t="s">
        <v>1670</v>
      </c>
      <c r="C1212" s="36" t="s">
        <v>1836</v>
      </c>
      <c r="D1212" s="36" t="s">
        <v>1412</v>
      </c>
      <c r="E1212" s="19" t="s">
        <v>1999</v>
      </c>
      <c r="F1212" s="19" t="s">
        <v>2011</v>
      </c>
      <c r="G1212" s="19" t="s">
        <v>2005</v>
      </c>
    </row>
    <row r="1213" spans="1:7" ht="14.25" customHeight="1">
      <c r="A1213" s="45">
        <v>1206</v>
      </c>
      <c r="B1213" s="36" t="s">
        <v>1683</v>
      </c>
      <c r="C1213" s="36" t="s">
        <v>1849</v>
      </c>
      <c r="D1213" s="36" t="s">
        <v>1412</v>
      </c>
      <c r="E1213" s="19" t="s">
        <v>1999</v>
      </c>
      <c r="F1213" s="19" t="s">
        <v>2011</v>
      </c>
      <c r="G1213" s="19" t="s">
        <v>2006</v>
      </c>
    </row>
    <row r="1214" spans="1:7" ht="14.25" customHeight="1">
      <c r="A1214" s="45">
        <v>1207</v>
      </c>
      <c r="B1214" s="36" t="s">
        <v>1684</v>
      </c>
      <c r="C1214" s="36" t="s">
        <v>1850</v>
      </c>
      <c r="D1214" s="36" t="s">
        <v>1412</v>
      </c>
      <c r="E1214" s="19" t="s">
        <v>1999</v>
      </c>
      <c r="F1214" s="19" t="s">
        <v>2011</v>
      </c>
      <c r="G1214" s="19" t="s">
        <v>736</v>
      </c>
    </row>
    <row r="1215" spans="1:7" ht="14.25" customHeight="1">
      <c r="A1215" s="45">
        <v>1208</v>
      </c>
      <c r="B1215" s="36" t="s">
        <v>1685</v>
      </c>
      <c r="C1215" s="36" t="s">
        <v>1851</v>
      </c>
      <c r="D1215" s="36" t="s">
        <v>1412</v>
      </c>
      <c r="E1215" s="19" t="s">
        <v>1999</v>
      </c>
      <c r="F1215" s="19" t="s">
        <v>2011</v>
      </c>
      <c r="G1215" s="19" t="s">
        <v>2006</v>
      </c>
    </row>
    <row r="1216" spans="1:7" ht="14.25" customHeight="1">
      <c r="A1216" s="45">
        <v>1209</v>
      </c>
      <c r="B1216" s="36" t="s">
        <v>1686</v>
      </c>
      <c r="C1216" s="36" t="s">
        <v>1852</v>
      </c>
      <c r="D1216" s="36" t="s">
        <v>1412</v>
      </c>
      <c r="E1216" s="19" t="s">
        <v>1999</v>
      </c>
      <c r="F1216" s="19" t="s">
        <v>2011</v>
      </c>
      <c r="G1216" s="19" t="s">
        <v>736</v>
      </c>
    </row>
    <row r="1217" spans="1:7" ht="14.25" customHeight="1">
      <c r="A1217" s="45">
        <v>1210</v>
      </c>
      <c r="B1217" s="36" t="s">
        <v>1682</v>
      </c>
      <c r="C1217" s="36" t="s">
        <v>1848</v>
      </c>
      <c r="D1217" s="36" t="s">
        <v>1412</v>
      </c>
      <c r="E1217" s="19" t="s">
        <v>1999</v>
      </c>
      <c r="F1217" s="19" t="s">
        <v>2011</v>
      </c>
      <c r="G1217" s="19" t="s">
        <v>736</v>
      </c>
    </row>
    <row r="1218" spans="1:7" ht="14.25" customHeight="1">
      <c r="A1218" s="45">
        <v>1211</v>
      </c>
      <c r="B1218" s="36" t="s">
        <v>1676</v>
      </c>
      <c r="C1218" s="36" t="s">
        <v>1842</v>
      </c>
      <c r="D1218" s="36" t="s">
        <v>1412</v>
      </c>
      <c r="E1218" s="19" t="s">
        <v>1999</v>
      </c>
      <c r="F1218" s="19" t="s">
        <v>2011</v>
      </c>
      <c r="G1218" s="19" t="s">
        <v>736</v>
      </c>
    </row>
    <row r="1219" spans="1:7" ht="14.25" customHeight="1">
      <c r="A1219" s="45">
        <v>1212</v>
      </c>
      <c r="B1219" s="36" t="s">
        <v>1680</v>
      </c>
      <c r="C1219" s="36" t="s">
        <v>1846</v>
      </c>
      <c r="D1219" s="36" t="s">
        <v>1412</v>
      </c>
      <c r="E1219" s="19" t="s">
        <v>1999</v>
      </c>
      <c r="F1219" s="19" t="s">
        <v>2011</v>
      </c>
      <c r="G1219" s="19" t="s">
        <v>736</v>
      </c>
    </row>
    <row r="1220" spans="1:7" ht="14.25" customHeight="1">
      <c r="A1220" s="45">
        <v>1213</v>
      </c>
      <c r="B1220" s="36" t="s">
        <v>1681</v>
      </c>
      <c r="C1220" s="36" t="s">
        <v>1847</v>
      </c>
      <c r="D1220" s="36" t="s">
        <v>1412</v>
      </c>
      <c r="E1220" s="19" t="s">
        <v>1999</v>
      </c>
      <c r="F1220" s="19" t="s">
        <v>2011</v>
      </c>
      <c r="G1220" s="19" t="s">
        <v>2006</v>
      </c>
    </row>
    <row r="1221" spans="1:7" ht="14.25" customHeight="1">
      <c r="A1221" s="45">
        <v>1214</v>
      </c>
      <c r="B1221" s="36" t="s">
        <v>1677</v>
      </c>
      <c r="C1221" s="36" t="s">
        <v>1843</v>
      </c>
      <c r="D1221" s="36" t="s">
        <v>1412</v>
      </c>
      <c r="E1221" s="19" t="s">
        <v>1999</v>
      </c>
      <c r="F1221" s="19" t="s">
        <v>2011</v>
      </c>
      <c r="G1221" s="19" t="s">
        <v>2006</v>
      </c>
    </row>
    <row r="1222" spans="1:7" ht="14.25" customHeight="1">
      <c r="A1222" s="45">
        <v>1215</v>
      </c>
      <c r="B1222" s="36" t="s">
        <v>1678</v>
      </c>
      <c r="C1222" s="36" t="s">
        <v>1844</v>
      </c>
      <c r="D1222" s="36" t="s">
        <v>1412</v>
      </c>
      <c r="E1222" s="19" t="s">
        <v>1999</v>
      </c>
      <c r="F1222" s="19" t="s">
        <v>2011</v>
      </c>
      <c r="G1222" s="19" t="s">
        <v>736</v>
      </c>
    </row>
    <row r="1223" spans="1:7" ht="14.25" customHeight="1">
      <c r="A1223" s="45">
        <v>1216</v>
      </c>
      <c r="B1223" s="36" t="s">
        <v>1679</v>
      </c>
      <c r="C1223" s="36" t="s">
        <v>1845</v>
      </c>
      <c r="D1223" s="36" t="s">
        <v>1412</v>
      </c>
      <c r="E1223" s="19" t="s">
        <v>1999</v>
      </c>
      <c r="F1223" s="19" t="s">
        <v>2011</v>
      </c>
      <c r="G1223" s="19" t="s">
        <v>2006</v>
      </c>
    </row>
    <row r="1224" spans="1:7" ht="14.25" customHeight="1">
      <c r="A1224" s="45">
        <v>1217</v>
      </c>
      <c r="B1224" s="36" t="s">
        <v>1675</v>
      </c>
      <c r="C1224" s="36" t="s">
        <v>1841</v>
      </c>
      <c r="D1224" s="36" t="s">
        <v>1412</v>
      </c>
      <c r="E1224" s="19" t="s">
        <v>1999</v>
      </c>
      <c r="F1224" s="19" t="s">
        <v>2011</v>
      </c>
      <c r="G1224" s="19" t="s">
        <v>2006</v>
      </c>
    </row>
    <row r="1225" spans="1:7" ht="14.25" customHeight="1">
      <c r="A1225" s="45">
        <v>1218</v>
      </c>
      <c r="B1225" s="36" t="s">
        <v>1697</v>
      </c>
      <c r="C1225" s="36" t="s">
        <v>1863</v>
      </c>
      <c r="D1225" s="36" t="s">
        <v>1412</v>
      </c>
      <c r="E1225" s="19" t="s">
        <v>1999</v>
      </c>
      <c r="F1225" s="19" t="s">
        <v>2011</v>
      </c>
      <c r="G1225" s="19" t="s">
        <v>2006</v>
      </c>
    </row>
    <row r="1226" spans="1:7" ht="14.25" customHeight="1">
      <c r="A1226" s="45">
        <v>1219</v>
      </c>
      <c r="B1226" s="36" t="s">
        <v>1702</v>
      </c>
      <c r="C1226" s="36" t="s">
        <v>1869</v>
      </c>
      <c r="D1226" s="36" t="s">
        <v>1412</v>
      </c>
      <c r="E1226" s="19" t="s">
        <v>1999</v>
      </c>
      <c r="F1226" s="19" t="s">
        <v>2011</v>
      </c>
      <c r="G1226" s="19" t="s">
        <v>2006</v>
      </c>
    </row>
    <row r="1227" spans="1:7" ht="14.25" customHeight="1">
      <c r="A1227" s="45">
        <v>1220</v>
      </c>
      <c r="B1227" s="36" t="s">
        <v>1687</v>
      </c>
      <c r="C1227" s="36" t="s">
        <v>1853</v>
      </c>
      <c r="D1227" s="36" t="s">
        <v>1412</v>
      </c>
      <c r="E1227" s="19" t="s">
        <v>1999</v>
      </c>
      <c r="F1227" s="19" t="s">
        <v>2011</v>
      </c>
      <c r="G1227" s="19" t="s">
        <v>2006</v>
      </c>
    </row>
    <row r="1228" spans="1:7" ht="14.25" customHeight="1">
      <c r="A1228" s="45">
        <v>1221</v>
      </c>
      <c r="B1228" s="36" t="s">
        <v>1699</v>
      </c>
      <c r="C1228" s="36" t="s">
        <v>1865</v>
      </c>
      <c r="D1228" s="36" t="s">
        <v>1412</v>
      </c>
      <c r="E1228" s="19" t="s">
        <v>1999</v>
      </c>
      <c r="F1228" s="19" t="s">
        <v>2011</v>
      </c>
      <c r="G1228" s="19" t="s">
        <v>2006</v>
      </c>
    </row>
    <row r="1229" spans="1:7" ht="14.25" customHeight="1">
      <c r="A1229" s="45">
        <v>1222</v>
      </c>
      <c r="B1229" s="36" t="s">
        <v>1700</v>
      </c>
      <c r="C1229" s="36" t="s">
        <v>1866</v>
      </c>
      <c r="D1229" s="36" t="s">
        <v>1412</v>
      </c>
      <c r="E1229" s="19" t="s">
        <v>1999</v>
      </c>
      <c r="F1229" s="19" t="s">
        <v>2011</v>
      </c>
      <c r="G1229" s="19" t="s">
        <v>736</v>
      </c>
    </row>
    <row r="1230" spans="1:7" ht="14.25" customHeight="1">
      <c r="A1230" s="45">
        <v>1223</v>
      </c>
      <c r="B1230" s="36" t="s">
        <v>1698</v>
      </c>
      <c r="C1230" s="36" t="s">
        <v>1864</v>
      </c>
      <c r="D1230" s="36" t="s">
        <v>1412</v>
      </c>
      <c r="E1230" s="19" t="s">
        <v>1999</v>
      </c>
      <c r="F1230" s="19" t="s">
        <v>2011</v>
      </c>
      <c r="G1230" s="19" t="s">
        <v>736</v>
      </c>
    </row>
    <row r="1231" spans="1:7" ht="14.25" customHeight="1">
      <c r="A1231" s="45">
        <v>1224</v>
      </c>
      <c r="B1231" s="36" t="s">
        <v>1707</v>
      </c>
      <c r="C1231" s="36" t="s">
        <v>1872</v>
      </c>
      <c r="D1231" s="36" t="s">
        <v>1412</v>
      </c>
      <c r="E1231" s="19" t="s">
        <v>1999</v>
      </c>
      <c r="F1231" s="19" t="s">
        <v>2011</v>
      </c>
      <c r="G1231" s="19" t="s">
        <v>736</v>
      </c>
    </row>
    <row r="1232" spans="1:7" ht="14.25" customHeight="1">
      <c r="A1232" s="45">
        <v>1225</v>
      </c>
      <c r="B1232" s="36" t="s">
        <v>1692</v>
      </c>
      <c r="C1232" s="36" t="s">
        <v>1858</v>
      </c>
      <c r="D1232" s="36" t="s">
        <v>1412</v>
      </c>
      <c r="E1232" s="19" t="s">
        <v>1999</v>
      </c>
      <c r="F1232" s="19" t="s">
        <v>2011</v>
      </c>
      <c r="G1232" s="19" t="s">
        <v>736</v>
      </c>
    </row>
    <row r="1233" spans="1:7" ht="14.25" customHeight="1">
      <c r="A1233" s="45">
        <v>1226</v>
      </c>
      <c r="B1233" s="183" t="s">
        <v>3919</v>
      </c>
      <c r="C1233" s="50" t="s">
        <v>1900</v>
      </c>
      <c r="D1233" s="50" t="s">
        <v>1412</v>
      </c>
      <c r="E1233" s="19" t="s">
        <v>1999</v>
      </c>
      <c r="F1233" s="19" t="s">
        <v>2011</v>
      </c>
      <c r="G1233" s="19" t="s">
        <v>2001</v>
      </c>
    </row>
    <row r="1234" spans="1:7" ht="14.25" customHeight="1">
      <c r="A1234" s="45">
        <v>1227</v>
      </c>
      <c r="B1234" s="50" t="s">
        <v>1766</v>
      </c>
      <c r="C1234" s="50" t="s">
        <v>1927</v>
      </c>
      <c r="D1234" s="50" t="s">
        <v>1412</v>
      </c>
      <c r="E1234" s="19" t="s">
        <v>1999</v>
      </c>
      <c r="F1234" s="19" t="s">
        <v>2011</v>
      </c>
      <c r="G1234" s="19" t="s">
        <v>2001</v>
      </c>
    </row>
    <row r="1235" spans="1:7" ht="14.25" customHeight="1">
      <c r="A1235" s="45">
        <v>1228</v>
      </c>
      <c r="B1235" s="50" t="s">
        <v>1743</v>
      </c>
      <c r="C1235" s="50" t="s">
        <v>1904</v>
      </c>
      <c r="D1235" s="50" t="s">
        <v>1412</v>
      </c>
      <c r="E1235" s="19" t="s">
        <v>1999</v>
      </c>
      <c r="F1235" s="19" t="s">
        <v>2011</v>
      </c>
      <c r="G1235" s="19" t="s">
        <v>2001</v>
      </c>
    </row>
    <row r="1236" spans="1:7" ht="14.25" customHeight="1">
      <c r="A1236" s="45">
        <v>1229</v>
      </c>
      <c r="B1236" s="50" t="s">
        <v>1760</v>
      </c>
      <c r="C1236" s="50" t="s">
        <v>1921</v>
      </c>
      <c r="D1236" s="50" t="s">
        <v>1412</v>
      </c>
      <c r="E1236" s="19" t="s">
        <v>1999</v>
      </c>
      <c r="F1236" s="19" t="s">
        <v>2011</v>
      </c>
      <c r="G1236" s="19" t="s">
        <v>2001</v>
      </c>
    </row>
    <row r="1237" spans="1:7" ht="14.25" customHeight="1">
      <c r="A1237" s="45">
        <v>1230</v>
      </c>
      <c r="B1237" s="50" t="s">
        <v>1764</v>
      </c>
      <c r="C1237" s="50" t="s">
        <v>1925</v>
      </c>
      <c r="D1237" s="50" t="s">
        <v>1412</v>
      </c>
      <c r="E1237" s="19" t="s">
        <v>1999</v>
      </c>
      <c r="F1237" s="19" t="s">
        <v>2011</v>
      </c>
      <c r="G1237" s="19" t="s">
        <v>2001</v>
      </c>
    </row>
    <row r="1238" spans="1:7" ht="14.25" customHeight="1">
      <c r="A1238" s="45">
        <v>1231</v>
      </c>
      <c r="B1238" s="50" t="s">
        <v>1739</v>
      </c>
      <c r="C1238" s="50" t="s">
        <v>1899</v>
      </c>
      <c r="D1238" s="50" t="s">
        <v>1412</v>
      </c>
      <c r="E1238" s="19" t="s">
        <v>1999</v>
      </c>
      <c r="F1238" s="19" t="s">
        <v>2011</v>
      </c>
      <c r="G1238" s="19" t="s">
        <v>2001</v>
      </c>
    </row>
    <row r="1239" spans="1:7" ht="14.25" customHeight="1">
      <c r="A1239" s="45">
        <v>1232</v>
      </c>
      <c r="B1239" s="50" t="s">
        <v>1736</v>
      </c>
      <c r="C1239" s="50" t="s">
        <v>1896</v>
      </c>
      <c r="D1239" s="50" t="s">
        <v>1412</v>
      </c>
      <c r="E1239" s="19" t="s">
        <v>1999</v>
      </c>
      <c r="F1239" s="19" t="s">
        <v>2011</v>
      </c>
      <c r="G1239" s="19" t="s">
        <v>2007</v>
      </c>
    </row>
    <row r="1240" spans="1:7" ht="14.25" customHeight="1">
      <c r="A1240" s="45">
        <v>1233</v>
      </c>
      <c r="B1240" s="50" t="s">
        <v>1738</v>
      </c>
      <c r="C1240" s="50" t="s">
        <v>1898</v>
      </c>
      <c r="D1240" s="50" t="s">
        <v>1412</v>
      </c>
      <c r="E1240" s="19" t="s">
        <v>1999</v>
      </c>
      <c r="F1240" s="19" t="s">
        <v>2011</v>
      </c>
      <c r="G1240" s="19" t="s">
        <v>2001</v>
      </c>
    </row>
    <row r="1241" spans="1:7" ht="14.25" customHeight="1">
      <c r="A1241" s="45">
        <v>1234</v>
      </c>
      <c r="B1241" s="50" t="s">
        <v>1757</v>
      </c>
      <c r="C1241" s="50" t="s">
        <v>1918</v>
      </c>
      <c r="D1241" s="50" t="s">
        <v>1412</v>
      </c>
      <c r="E1241" s="19" t="s">
        <v>1999</v>
      </c>
      <c r="F1241" s="19" t="s">
        <v>2011</v>
      </c>
      <c r="G1241" s="19" t="s">
        <v>2001</v>
      </c>
    </row>
    <row r="1242" spans="1:7" ht="14.25" customHeight="1">
      <c r="A1242" s="45">
        <v>1235</v>
      </c>
      <c r="B1242" s="50" t="s">
        <v>1756</v>
      </c>
      <c r="C1242" s="50" t="s">
        <v>1917</v>
      </c>
      <c r="D1242" s="50" t="s">
        <v>1412</v>
      </c>
      <c r="E1242" s="19" t="s">
        <v>1999</v>
      </c>
      <c r="F1242" s="19" t="s">
        <v>2011</v>
      </c>
      <c r="G1242" s="19" t="s">
        <v>2001</v>
      </c>
    </row>
    <row r="1243" spans="1:7" ht="14.25" customHeight="1">
      <c r="A1243" s="45">
        <v>1236</v>
      </c>
      <c r="B1243" s="50" t="s">
        <v>1768</v>
      </c>
      <c r="C1243" s="50" t="s">
        <v>1929</v>
      </c>
      <c r="D1243" s="50" t="s">
        <v>1412</v>
      </c>
      <c r="E1243" s="19" t="s">
        <v>1999</v>
      </c>
      <c r="F1243" s="19" t="s">
        <v>2011</v>
      </c>
      <c r="G1243" s="19" t="s">
        <v>2001</v>
      </c>
    </row>
    <row r="1244" spans="1:7" ht="14.25" customHeight="1">
      <c r="A1244" s="45">
        <v>1237</v>
      </c>
      <c r="B1244" s="50" t="s">
        <v>1742</v>
      </c>
      <c r="C1244" s="50" t="s">
        <v>1903</v>
      </c>
      <c r="D1244" s="50" t="s">
        <v>1412</v>
      </c>
      <c r="E1244" s="19" t="s">
        <v>1999</v>
      </c>
      <c r="F1244" s="19" t="s">
        <v>2011</v>
      </c>
      <c r="G1244" s="19" t="s">
        <v>2001</v>
      </c>
    </row>
    <row r="1245" spans="1:7" ht="14.25" customHeight="1">
      <c r="A1245" s="45">
        <v>1238</v>
      </c>
      <c r="B1245" s="50" t="s">
        <v>1758</v>
      </c>
      <c r="C1245" s="50" t="s">
        <v>1919</v>
      </c>
      <c r="D1245" s="50" t="s">
        <v>1412</v>
      </c>
      <c r="E1245" s="19" t="s">
        <v>1999</v>
      </c>
      <c r="F1245" s="19" t="s">
        <v>2011</v>
      </c>
      <c r="G1245" s="19" t="s">
        <v>2001</v>
      </c>
    </row>
    <row r="1246" spans="1:7" ht="14.25" customHeight="1">
      <c r="A1246" s="45">
        <v>1239</v>
      </c>
      <c r="B1246" s="50" t="s">
        <v>1759</v>
      </c>
      <c r="C1246" s="50" t="s">
        <v>1920</v>
      </c>
      <c r="D1246" s="50" t="s">
        <v>1412</v>
      </c>
      <c r="E1246" s="19" t="s">
        <v>1999</v>
      </c>
      <c r="F1246" s="19" t="s">
        <v>2011</v>
      </c>
      <c r="G1246" s="19" t="s">
        <v>2001</v>
      </c>
    </row>
    <row r="1247" spans="1:7" ht="14.25" customHeight="1">
      <c r="A1247" s="45">
        <v>1240</v>
      </c>
      <c r="B1247" s="50" t="s">
        <v>1746</v>
      </c>
      <c r="C1247" s="50" t="s">
        <v>1907</v>
      </c>
      <c r="D1247" s="50" t="s">
        <v>1412</v>
      </c>
      <c r="E1247" s="19" t="s">
        <v>1999</v>
      </c>
      <c r="F1247" s="19" t="s">
        <v>2011</v>
      </c>
      <c r="G1247" s="19" t="s">
        <v>2001</v>
      </c>
    </row>
    <row r="1248" spans="1:7" ht="14.25" customHeight="1">
      <c r="A1248" s="45">
        <v>1241</v>
      </c>
      <c r="B1248" s="50" t="s">
        <v>1747</v>
      </c>
      <c r="C1248" s="50" t="s">
        <v>1908</v>
      </c>
      <c r="D1248" s="50" t="s">
        <v>1412</v>
      </c>
      <c r="E1248" s="19" t="s">
        <v>1999</v>
      </c>
      <c r="F1248" s="19" t="s">
        <v>2011</v>
      </c>
      <c r="G1248" s="19" t="s">
        <v>2001</v>
      </c>
    </row>
    <row r="1249" spans="1:7" ht="14.25" customHeight="1">
      <c r="A1249" s="45">
        <v>1242</v>
      </c>
      <c r="B1249" s="50" t="s">
        <v>1748</v>
      </c>
      <c r="C1249" s="50" t="s">
        <v>1909</v>
      </c>
      <c r="D1249" s="50" t="s">
        <v>1412</v>
      </c>
      <c r="E1249" s="19" t="s">
        <v>1999</v>
      </c>
      <c r="F1249" s="19" t="s">
        <v>2011</v>
      </c>
      <c r="G1249" s="19" t="s">
        <v>2001</v>
      </c>
    </row>
    <row r="1250" spans="1:7" ht="14.25" customHeight="1">
      <c r="A1250" s="45">
        <v>1243</v>
      </c>
      <c r="B1250" s="50" t="s">
        <v>1745</v>
      </c>
      <c r="C1250" s="50" t="s">
        <v>1906</v>
      </c>
      <c r="D1250" s="50" t="s">
        <v>1412</v>
      </c>
      <c r="E1250" s="19" t="s">
        <v>1999</v>
      </c>
      <c r="F1250" s="19" t="s">
        <v>2011</v>
      </c>
      <c r="G1250" s="19" t="s">
        <v>2001</v>
      </c>
    </row>
    <row r="1251" spans="1:7" ht="14.25" customHeight="1">
      <c r="A1251" s="45">
        <v>1244</v>
      </c>
      <c r="B1251" s="50" t="s">
        <v>1744</v>
      </c>
      <c r="C1251" s="50" t="s">
        <v>1905</v>
      </c>
      <c r="D1251" s="50" t="s">
        <v>1412</v>
      </c>
      <c r="E1251" s="19" t="s">
        <v>1999</v>
      </c>
      <c r="F1251" s="19" t="s">
        <v>2011</v>
      </c>
      <c r="G1251" s="19" t="s">
        <v>2001</v>
      </c>
    </row>
    <row r="1252" spans="1:7" ht="14.25" customHeight="1">
      <c r="A1252" s="45">
        <v>1245</v>
      </c>
      <c r="B1252" s="50" t="s">
        <v>1750</v>
      </c>
      <c r="C1252" s="50" t="s">
        <v>1911</v>
      </c>
      <c r="D1252" s="50" t="s">
        <v>1412</v>
      </c>
      <c r="E1252" s="19" t="s">
        <v>1999</v>
      </c>
      <c r="F1252" s="19" t="s">
        <v>2011</v>
      </c>
      <c r="G1252" s="19" t="s">
        <v>2001</v>
      </c>
    </row>
    <row r="1253" spans="1:7" ht="14.25" customHeight="1">
      <c r="A1253" s="45">
        <v>1246</v>
      </c>
      <c r="B1253" s="50" t="s">
        <v>1751</v>
      </c>
      <c r="C1253" s="50" t="s">
        <v>1912</v>
      </c>
      <c r="D1253" s="50" t="s">
        <v>1412</v>
      </c>
      <c r="E1253" s="19" t="s">
        <v>1999</v>
      </c>
      <c r="F1253" s="19" t="s">
        <v>2011</v>
      </c>
      <c r="G1253" s="19" t="s">
        <v>2001</v>
      </c>
    </row>
    <row r="1254" spans="1:7" ht="14.25" customHeight="1">
      <c r="A1254" s="45">
        <v>1247</v>
      </c>
      <c r="B1254" s="50" t="s">
        <v>1752</v>
      </c>
      <c r="C1254" s="50" t="s">
        <v>1913</v>
      </c>
      <c r="D1254" s="50" t="s">
        <v>1412</v>
      </c>
      <c r="E1254" s="19" t="s">
        <v>1999</v>
      </c>
      <c r="F1254" s="19" t="s">
        <v>2011</v>
      </c>
      <c r="G1254" s="19" t="s">
        <v>2001</v>
      </c>
    </row>
    <row r="1255" spans="1:7" ht="14.25" customHeight="1">
      <c r="A1255" s="45">
        <v>1248</v>
      </c>
      <c r="B1255" s="50" t="s">
        <v>1753</v>
      </c>
      <c r="C1255" s="50" t="s">
        <v>1914</v>
      </c>
      <c r="D1255" s="50" t="s">
        <v>1412</v>
      </c>
      <c r="E1255" s="19" t="s">
        <v>1999</v>
      </c>
      <c r="F1255" s="19" t="s">
        <v>2011</v>
      </c>
      <c r="G1255" s="19" t="s">
        <v>2001</v>
      </c>
    </row>
    <row r="1256" spans="1:7" ht="14.25" customHeight="1">
      <c r="A1256" s="45">
        <v>1249</v>
      </c>
      <c r="B1256" s="50" t="s">
        <v>1749</v>
      </c>
      <c r="C1256" s="50" t="s">
        <v>1910</v>
      </c>
      <c r="D1256" s="50" t="s">
        <v>1412</v>
      </c>
      <c r="E1256" s="19" t="s">
        <v>1999</v>
      </c>
      <c r="F1256" s="19" t="s">
        <v>2011</v>
      </c>
      <c r="G1256" s="19" t="s">
        <v>2001</v>
      </c>
    </row>
    <row r="1257" spans="1:7" ht="14.25" customHeight="1">
      <c r="A1257" s="45">
        <v>1250</v>
      </c>
      <c r="B1257" s="50" t="s">
        <v>1767</v>
      </c>
      <c r="C1257" s="50" t="s">
        <v>1928</v>
      </c>
      <c r="D1257" s="50" t="s">
        <v>1412</v>
      </c>
      <c r="E1257" s="19" t="s">
        <v>1999</v>
      </c>
      <c r="F1257" s="19" t="s">
        <v>2011</v>
      </c>
      <c r="G1257" s="19" t="s">
        <v>2001</v>
      </c>
    </row>
    <row r="1258" spans="1:7" ht="14.25" customHeight="1">
      <c r="A1258" s="45">
        <v>1251</v>
      </c>
      <c r="B1258" s="50" t="s">
        <v>1741</v>
      </c>
      <c r="C1258" s="50" t="s">
        <v>1902</v>
      </c>
      <c r="D1258" s="50" t="s">
        <v>1412</v>
      </c>
      <c r="E1258" s="19" t="s">
        <v>1999</v>
      </c>
      <c r="F1258" s="19" t="s">
        <v>2011</v>
      </c>
      <c r="G1258" s="19" t="s">
        <v>2001</v>
      </c>
    </row>
    <row r="1259" spans="1:7" ht="14.25" customHeight="1">
      <c r="A1259" s="45">
        <v>1252</v>
      </c>
      <c r="B1259" s="50" t="s">
        <v>1765</v>
      </c>
      <c r="C1259" s="50" t="s">
        <v>1926</v>
      </c>
      <c r="D1259" s="50" t="s">
        <v>1412</v>
      </c>
      <c r="E1259" s="19" t="s">
        <v>1999</v>
      </c>
      <c r="F1259" s="19" t="s">
        <v>2011</v>
      </c>
      <c r="G1259" s="19" t="s">
        <v>2001</v>
      </c>
    </row>
    <row r="1260" spans="1:7" ht="14.25" customHeight="1">
      <c r="A1260" s="45">
        <v>1253</v>
      </c>
      <c r="B1260" s="50" t="s">
        <v>1769</v>
      </c>
      <c r="C1260" s="50" t="s">
        <v>1930</v>
      </c>
      <c r="D1260" s="50" t="s">
        <v>1412</v>
      </c>
      <c r="E1260" s="19" t="s">
        <v>1999</v>
      </c>
      <c r="F1260" s="19" t="s">
        <v>2011</v>
      </c>
      <c r="G1260" s="19" t="s">
        <v>2001</v>
      </c>
    </row>
    <row r="1261" spans="1:7" ht="14.25" customHeight="1">
      <c r="A1261" s="45">
        <v>1254</v>
      </c>
      <c r="B1261" s="50" t="s">
        <v>1763</v>
      </c>
      <c r="C1261" s="50" t="s">
        <v>1924</v>
      </c>
      <c r="D1261" s="50" t="s">
        <v>1412</v>
      </c>
      <c r="E1261" s="19" t="s">
        <v>1999</v>
      </c>
      <c r="F1261" s="19" t="s">
        <v>2011</v>
      </c>
      <c r="G1261" s="19" t="s">
        <v>2001</v>
      </c>
    </row>
    <row r="1262" spans="1:7" ht="14.25" customHeight="1">
      <c r="A1262" s="45">
        <v>1255</v>
      </c>
      <c r="B1262" s="50" t="s">
        <v>1740</v>
      </c>
      <c r="C1262" s="50" t="s">
        <v>1901</v>
      </c>
      <c r="D1262" s="50" t="s">
        <v>1412</v>
      </c>
      <c r="E1262" s="19" t="s">
        <v>1999</v>
      </c>
      <c r="F1262" s="19" t="s">
        <v>2011</v>
      </c>
      <c r="G1262" s="19" t="s">
        <v>2001</v>
      </c>
    </row>
    <row r="1263" spans="1:7" ht="14.25" customHeight="1">
      <c r="A1263" s="45">
        <v>1256</v>
      </c>
      <c r="B1263" s="50" t="s">
        <v>1762</v>
      </c>
      <c r="C1263" s="50" t="s">
        <v>1923</v>
      </c>
      <c r="D1263" s="50" t="s">
        <v>1412</v>
      </c>
      <c r="E1263" s="19" t="s">
        <v>1999</v>
      </c>
      <c r="F1263" s="19" t="s">
        <v>2011</v>
      </c>
      <c r="G1263" s="19" t="s">
        <v>2001</v>
      </c>
    </row>
    <row r="1264" spans="1:7" ht="14.25" customHeight="1">
      <c r="A1264" s="45">
        <v>1257</v>
      </c>
      <c r="B1264" s="50" t="s">
        <v>1754</v>
      </c>
      <c r="C1264" s="50" t="s">
        <v>1915</v>
      </c>
      <c r="D1264" s="50" t="s">
        <v>1412</v>
      </c>
      <c r="E1264" s="19" t="s">
        <v>1999</v>
      </c>
      <c r="F1264" s="19" t="s">
        <v>2011</v>
      </c>
      <c r="G1264" s="19" t="s">
        <v>2001</v>
      </c>
    </row>
    <row r="1265" spans="1:7" ht="14.25" customHeight="1">
      <c r="A1265" s="45">
        <v>1258</v>
      </c>
      <c r="B1265" s="50" t="s">
        <v>1761</v>
      </c>
      <c r="C1265" s="50" t="s">
        <v>1922</v>
      </c>
      <c r="D1265" s="50" t="s">
        <v>1412</v>
      </c>
      <c r="E1265" s="19" t="s">
        <v>1999</v>
      </c>
      <c r="F1265" s="19" t="s">
        <v>2011</v>
      </c>
      <c r="G1265" s="19" t="s">
        <v>2001</v>
      </c>
    </row>
    <row r="1266" spans="1:7" ht="14.25" customHeight="1">
      <c r="A1266" s="45">
        <v>1259</v>
      </c>
      <c r="B1266" s="50" t="s">
        <v>1755</v>
      </c>
      <c r="C1266" s="50" t="s">
        <v>1916</v>
      </c>
      <c r="D1266" s="50" t="s">
        <v>1412</v>
      </c>
      <c r="E1266" s="19" t="s">
        <v>1999</v>
      </c>
      <c r="F1266" s="19" t="s">
        <v>2011</v>
      </c>
      <c r="G1266" s="19" t="s">
        <v>2001</v>
      </c>
    </row>
    <row r="1267" spans="1:7" ht="14.25" customHeight="1">
      <c r="A1267" s="45">
        <v>1260</v>
      </c>
      <c r="B1267" s="50" t="s">
        <v>1737</v>
      </c>
      <c r="C1267" s="50" t="s">
        <v>1897</v>
      </c>
      <c r="D1267" s="50" t="s">
        <v>1412</v>
      </c>
      <c r="E1267" s="19" t="s">
        <v>1999</v>
      </c>
      <c r="F1267" s="19" t="s">
        <v>2011</v>
      </c>
      <c r="G1267" s="19" t="s">
        <v>2007</v>
      </c>
    </row>
    <row r="1268" spans="1:7" ht="14.25" customHeight="1">
      <c r="A1268" s="45">
        <v>1261</v>
      </c>
      <c r="B1268" s="254" t="s">
        <v>1797</v>
      </c>
      <c r="C1268" s="254" t="s">
        <v>1962</v>
      </c>
      <c r="D1268" s="254" t="s">
        <v>1412</v>
      </c>
      <c r="E1268" s="19" t="s">
        <v>1999</v>
      </c>
      <c r="F1268" s="19" t="s">
        <v>2016</v>
      </c>
      <c r="G1268" s="19" t="s">
        <v>2008</v>
      </c>
    </row>
    <row r="1269" spans="1:7" ht="14.25" customHeight="1">
      <c r="A1269" s="45">
        <v>1262</v>
      </c>
      <c r="B1269" s="254" t="s">
        <v>1798</v>
      </c>
      <c r="C1269" s="254" t="s">
        <v>1963</v>
      </c>
      <c r="D1269" s="254" t="s">
        <v>1412</v>
      </c>
      <c r="E1269" s="19" t="s">
        <v>1999</v>
      </c>
      <c r="F1269" s="19" t="s">
        <v>2016</v>
      </c>
      <c r="G1269" s="19" t="s">
        <v>2002</v>
      </c>
    </row>
    <row r="1270" spans="1:7" ht="14.25" customHeight="1">
      <c r="A1270" s="45">
        <v>1263</v>
      </c>
      <c r="B1270" s="254" t="s">
        <v>1800</v>
      </c>
      <c r="C1270" s="254" t="s">
        <v>1965</v>
      </c>
      <c r="D1270" s="254" t="s">
        <v>1412</v>
      </c>
      <c r="E1270" s="19" t="s">
        <v>1999</v>
      </c>
      <c r="F1270" s="19" t="s">
        <v>2016</v>
      </c>
      <c r="G1270" s="19" t="s">
        <v>2002</v>
      </c>
    </row>
    <row r="1271" spans="1:7" ht="14.25" customHeight="1">
      <c r="A1271" s="45">
        <v>1264</v>
      </c>
      <c r="B1271" s="254" t="s">
        <v>1801</v>
      </c>
      <c r="C1271" s="254" t="s">
        <v>1966</v>
      </c>
      <c r="D1271" s="254" t="s">
        <v>1412</v>
      </c>
      <c r="E1271" s="19" t="s">
        <v>1999</v>
      </c>
      <c r="F1271" s="19" t="s">
        <v>2016</v>
      </c>
      <c r="G1271" s="19" t="s">
        <v>2002</v>
      </c>
    </row>
    <row r="1272" spans="1:7" ht="14.25" customHeight="1">
      <c r="A1272" s="45">
        <v>1265</v>
      </c>
      <c r="B1272" s="254" t="s">
        <v>1802</v>
      </c>
      <c r="C1272" s="254" t="s">
        <v>1967</v>
      </c>
      <c r="D1272" s="254" t="s">
        <v>1412</v>
      </c>
      <c r="E1272" s="19" t="s">
        <v>1999</v>
      </c>
      <c r="F1272" s="19" t="s">
        <v>2016</v>
      </c>
      <c r="G1272" s="19" t="s">
        <v>2002</v>
      </c>
    </row>
    <row r="1273" spans="1:7" ht="14.25" customHeight="1">
      <c r="A1273" s="45">
        <v>1266</v>
      </c>
      <c r="B1273" s="254" t="s">
        <v>1799</v>
      </c>
      <c r="C1273" s="254" t="s">
        <v>1964</v>
      </c>
      <c r="D1273" s="254" t="s">
        <v>1412</v>
      </c>
      <c r="E1273" s="19" t="s">
        <v>1999</v>
      </c>
      <c r="F1273" s="19" t="s">
        <v>2016</v>
      </c>
      <c r="G1273" s="19" t="s">
        <v>2002</v>
      </c>
    </row>
    <row r="1274" spans="1:7" ht="14.25" customHeight="1">
      <c r="A1274" s="45">
        <v>1267</v>
      </c>
      <c r="B1274" s="254" t="s">
        <v>1804</v>
      </c>
      <c r="C1274" s="254" t="s">
        <v>1969</v>
      </c>
      <c r="D1274" s="254" t="s">
        <v>1412</v>
      </c>
      <c r="E1274" s="19" t="s">
        <v>1999</v>
      </c>
      <c r="F1274" s="19" t="s">
        <v>2016</v>
      </c>
      <c r="G1274" s="19" t="s">
        <v>2002</v>
      </c>
    </row>
    <row r="1275" spans="1:7" ht="14.25" customHeight="1">
      <c r="A1275" s="45">
        <v>1268</v>
      </c>
      <c r="B1275" s="254" t="s">
        <v>1805</v>
      </c>
      <c r="C1275" s="254" t="s">
        <v>1970</v>
      </c>
      <c r="D1275" s="254" t="s">
        <v>1412</v>
      </c>
      <c r="E1275" s="19" t="s">
        <v>1999</v>
      </c>
      <c r="F1275" s="19" t="s">
        <v>2016</v>
      </c>
      <c r="G1275" s="19" t="s">
        <v>2002</v>
      </c>
    </row>
    <row r="1276" spans="1:7" ht="14.25" customHeight="1">
      <c r="A1276" s="45">
        <v>1269</v>
      </c>
      <c r="B1276" s="254" t="s">
        <v>1803</v>
      </c>
      <c r="C1276" s="254" t="s">
        <v>1968</v>
      </c>
      <c r="D1276" s="254" t="s">
        <v>1412</v>
      </c>
      <c r="E1276" s="19" t="s">
        <v>1999</v>
      </c>
      <c r="F1276" s="19" t="s">
        <v>2016</v>
      </c>
      <c r="G1276" s="19" t="s">
        <v>2002</v>
      </c>
    </row>
    <row r="1277" spans="1:7" ht="14.25" customHeight="1">
      <c r="A1277" s="45">
        <v>1270</v>
      </c>
      <c r="B1277" s="254" t="s">
        <v>1796</v>
      </c>
      <c r="C1277" s="254" t="s">
        <v>1961</v>
      </c>
      <c r="D1277" s="254" t="s">
        <v>1412</v>
      </c>
      <c r="E1277" s="19" t="s">
        <v>1999</v>
      </c>
      <c r="F1277" s="19" t="s">
        <v>2016</v>
      </c>
      <c r="G1277" s="19" t="s">
        <v>2008</v>
      </c>
    </row>
    <row r="1278" spans="1:7" ht="14.25" customHeight="1">
      <c r="A1278" s="45">
        <v>1271</v>
      </c>
      <c r="B1278" s="51" t="s">
        <v>1820</v>
      </c>
      <c r="C1278" s="51" t="s">
        <v>1986</v>
      </c>
      <c r="D1278" s="51" t="s">
        <v>1412</v>
      </c>
      <c r="E1278" s="19" t="s">
        <v>1999</v>
      </c>
      <c r="F1278" s="19" t="s">
        <v>2019</v>
      </c>
      <c r="G1278" s="19" t="s">
        <v>2009</v>
      </c>
    </row>
    <row r="1279" spans="1:7" ht="14.25" customHeight="1">
      <c r="A1279" s="45">
        <v>1272</v>
      </c>
      <c r="B1279" s="51" t="s">
        <v>1823</v>
      </c>
      <c r="C1279" s="51" t="s">
        <v>1989</v>
      </c>
      <c r="D1279" s="51" t="s">
        <v>1412</v>
      </c>
      <c r="E1279" s="19" t="s">
        <v>1999</v>
      </c>
      <c r="F1279" s="19" t="s">
        <v>2019</v>
      </c>
      <c r="G1279" s="19" t="s">
        <v>2003</v>
      </c>
    </row>
    <row r="1280" spans="1:7" ht="14.25" customHeight="1">
      <c r="A1280" s="45">
        <v>1273</v>
      </c>
      <c r="B1280" s="51" t="s">
        <v>1821</v>
      </c>
      <c r="C1280" s="51" t="s">
        <v>1987</v>
      </c>
      <c r="D1280" s="51" t="s">
        <v>1412</v>
      </c>
      <c r="E1280" s="19" t="s">
        <v>1999</v>
      </c>
      <c r="F1280" s="19" t="s">
        <v>2019</v>
      </c>
      <c r="G1280" s="19" t="s">
        <v>2003</v>
      </c>
    </row>
    <row r="1281" spans="1:7" ht="14.25" customHeight="1">
      <c r="A1281" s="45">
        <v>1274</v>
      </c>
      <c r="B1281" s="51" t="s">
        <v>1826</v>
      </c>
      <c r="C1281" s="51" t="s">
        <v>1992</v>
      </c>
      <c r="D1281" s="51" t="s">
        <v>1412</v>
      </c>
      <c r="E1281" s="19" t="s">
        <v>1999</v>
      </c>
      <c r="F1281" s="19" t="s">
        <v>2019</v>
      </c>
      <c r="G1281" s="19" t="s">
        <v>2003</v>
      </c>
    </row>
    <row r="1282" spans="1:7" ht="14.25" customHeight="1">
      <c r="A1282" s="45">
        <v>1275</v>
      </c>
      <c r="B1282" s="51" t="s">
        <v>1819</v>
      </c>
      <c r="C1282" s="51" t="s">
        <v>1985</v>
      </c>
      <c r="D1282" s="51" t="s">
        <v>1412</v>
      </c>
      <c r="E1282" s="19" t="s">
        <v>1999</v>
      </c>
      <c r="F1282" s="19" t="s">
        <v>2019</v>
      </c>
      <c r="G1282" s="19" t="s">
        <v>2009</v>
      </c>
    </row>
    <row r="1283" spans="1:7" ht="14.25" customHeight="1">
      <c r="A1283" s="45">
        <v>1276</v>
      </c>
      <c r="B1283" s="51" t="s">
        <v>1825</v>
      </c>
      <c r="C1283" s="51" t="s">
        <v>1991</v>
      </c>
      <c r="D1283" s="51" t="s">
        <v>1412</v>
      </c>
      <c r="E1283" s="19" t="s">
        <v>1999</v>
      </c>
      <c r="F1283" s="19" t="s">
        <v>2019</v>
      </c>
      <c r="G1283" s="19" t="s">
        <v>2003</v>
      </c>
    </row>
    <row r="1284" spans="1:7" ht="14.25" customHeight="1">
      <c r="A1284" s="45">
        <v>1277</v>
      </c>
      <c r="B1284" s="51" t="s">
        <v>1822</v>
      </c>
      <c r="C1284" s="51" t="s">
        <v>1988</v>
      </c>
      <c r="D1284" s="51" t="s">
        <v>1412</v>
      </c>
      <c r="E1284" s="19" t="s">
        <v>1999</v>
      </c>
      <c r="F1284" s="19" t="s">
        <v>2019</v>
      </c>
      <c r="G1284" s="19" t="s">
        <v>2003</v>
      </c>
    </row>
    <row r="1285" spans="1:7" ht="14.25" customHeight="1">
      <c r="A1285" s="45">
        <v>1278</v>
      </c>
      <c r="B1285" s="51" t="s">
        <v>1824</v>
      </c>
      <c r="C1285" s="51" t="s">
        <v>1990</v>
      </c>
      <c r="D1285" s="51" t="s">
        <v>1412</v>
      </c>
      <c r="E1285" s="19" t="s">
        <v>1999</v>
      </c>
      <c r="F1285" s="19" t="s">
        <v>2019</v>
      </c>
      <c r="G1285" s="19" t="s">
        <v>2003</v>
      </c>
    </row>
    <row r="1286" spans="1:7" ht="14.25" customHeight="1">
      <c r="A1286" s="45">
        <v>1279</v>
      </c>
      <c r="B1286" s="49" t="s">
        <v>1449</v>
      </c>
      <c r="C1286" s="44" t="s">
        <v>1420</v>
      </c>
      <c r="D1286" s="42" t="s">
        <v>1412</v>
      </c>
      <c r="E1286" s="45" t="s">
        <v>1411</v>
      </c>
      <c r="F1286" s="19" t="s">
        <v>2019</v>
      </c>
      <c r="G1286" s="19" t="s">
        <v>2004</v>
      </c>
    </row>
    <row r="1287" spans="1:7" ht="14.25" customHeight="1">
      <c r="A1287" s="45">
        <v>1280</v>
      </c>
      <c r="B1287" s="49" t="s">
        <v>1448</v>
      </c>
      <c r="C1287" s="44" t="s">
        <v>1447</v>
      </c>
      <c r="D1287" s="42" t="s">
        <v>1412</v>
      </c>
      <c r="E1287" s="45" t="s">
        <v>1411</v>
      </c>
      <c r="F1287" s="19" t="s">
        <v>2019</v>
      </c>
      <c r="G1287" s="19" t="s">
        <v>2004</v>
      </c>
    </row>
    <row r="1288" spans="1:7" ht="14.25" customHeight="1">
      <c r="A1288" s="45">
        <v>1281</v>
      </c>
      <c r="B1288" s="49" t="s">
        <v>1246</v>
      </c>
      <c r="C1288" s="44" t="s">
        <v>1418</v>
      </c>
      <c r="D1288" s="42" t="s">
        <v>1412</v>
      </c>
      <c r="E1288" s="45" t="s">
        <v>1411</v>
      </c>
      <c r="F1288" s="19" t="s">
        <v>2019</v>
      </c>
      <c r="G1288" s="19" t="s">
        <v>2004</v>
      </c>
    </row>
    <row r="1289" spans="1:7" ht="14.25" customHeight="1">
      <c r="A1289" s="45">
        <v>1282</v>
      </c>
      <c r="B1289" s="49" t="s">
        <v>1245</v>
      </c>
      <c r="C1289" s="44" t="s">
        <v>1417</v>
      </c>
      <c r="D1289" s="42" t="s">
        <v>1412</v>
      </c>
      <c r="E1289" s="45" t="s">
        <v>1411</v>
      </c>
      <c r="F1289" s="19" t="s">
        <v>2019</v>
      </c>
      <c r="G1289" s="19" t="s">
        <v>2004</v>
      </c>
    </row>
    <row r="1290" spans="1:7" ht="14.25" customHeight="1">
      <c r="A1290" s="45">
        <v>1283</v>
      </c>
      <c r="B1290" s="49" t="s">
        <v>1247</v>
      </c>
      <c r="C1290" s="44" t="s">
        <v>1419</v>
      </c>
      <c r="D1290" s="42" t="s">
        <v>1412</v>
      </c>
      <c r="E1290" s="45" t="s">
        <v>1411</v>
      </c>
      <c r="F1290" s="19" t="s">
        <v>2019</v>
      </c>
      <c r="G1290" s="19" t="s">
        <v>2004</v>
      </c>
    </row>
    <row r="1291" spans="1:7" ht="14.25" customHeight="1">
      <c r="A1291" s="45">
        <v>1284</v>
      </c>
      <c r="B1291" s="49" t="s">
        <v>1243</v>
      </c>
      <c r="C1291" s="44" t="s">
        <v>1415</v>
      </c>
      <c r="D1291" s="42" t="s">
        <v>1412</v>
      </c>
      <c r="E1291" s="45" t="s">
        <v>1411</v>
      </c>
      <c r="F1291" s="19" t="s">
        <v>2019</v>
      </c>
      <c r="G1291" s="19" t="s">
        <v>2004</v>
      </c>
    </row>
    <row r="1292" spans="1:7" ht="14.25" customHeight="1">
      <c r="A1292" s="45">
        <v>1285</v>
      </c>
      <c r="B1292" s="49" t="s">
        <v>1450</v>
      </c>
      <c r="C1292" s="44" t="s">
        <v>1421</v>
      </c>
      <c r="D1292" s="42" t="s">
        <v>1412</v>
      </c>
      <c r="E1292" s="45" t="s">
        <v>1411</v>
      </c>
      <c r="F1292" s="19" t="s">
        <v>2019</v>
      </c>
      <c r="G1292" s="19" t="s">
        <v>2004</v>
      </c>
    </row>
    <row r="1293" spans="1:7" ht="14.25" customHeight="1">
      <c r="A1293" s="45">
        <v>1286</v>
      </c>
      <c r="B1293" s="49" t="s">
        <v>1452</v>
      </c>
      <c r="C1293" s="44" t="s">
        <v>1423</v>
      </c>
      <c r="D1293" s="42" t="s">
        <v>1412</v>
      </c>
      <c r="E1293" s="45" t="s">
        <v>1411</v>
      </c>
      <c r="F1293" s="19" t="s">
        <v>2019</v>
      </c>
      <c r="G1293" s="19" t="s">
        <v>2004</v>
      </c>
    </row>
    <row r="1294" spans="1:7" ht="14.25" customHeight="1">
      <c r="A1294" s="45">
        <v>1287</v>
      </c>
      <c r="B1294" s="49" t="s">
        <v>1251</v>
      </c>
      <c r="C1294" s="44" t="s">
        <v>1427</v>
      </c>
      <c r="D1294" s="42" t="s">
        <v>1412</v>
      </c>
      <c r="E1294" s="45" t="s">
        <v>1411</v>
      </c>
      <c r="F1294" s="19" t="s">
        <v>2019</v>
      </c>
      <c r="G1294" s="19" t="s">
        <v>2004</v>
      </c>
    </row>
    <row r="1295" spans="1:7" ht="14.25" customHeight="1">
      <c r="A1295" s="45">
        <v>1288</v>
      </c>
      <c r="B1295" s="49" t="s">
        <v>1248</v>
      </c>
      <c r="C1295" s="44" t="s">
        <v>1424</v>
      </c>
      <c r="D1295" s="42" t="s">
        <v>1412</v>
      </c>
      <c r="E1295" s="45" t="s">
        <v>1411</v>
      </c>
      <c r="F1295" s="19" t="s">
        <v>2019</v>
      </c>
      <c r="G1295" s="19" t="s">
        <v>2004</v>
      </c>
    </row>
    <row r="1296" spans="1:7" ht="14.25" customHeight="1">
      <c r="A1296" s="45">
        <v>1289</v>
      </c>
      <c r="B1296" s="49" t="s">
        <v>1250</v>
      </c>
      <c r="C1296" s="44" t="s">
        <v>1426</v>
      </c>
      <c r="D1296" s="42" t="s">
        <v>1412</v>
      </c>
      <c r="E1296" s="45" t="s">
        <v>1411</v>
      </c>
      <c r="F1296" s="19" t="s">
        <v>2019</v>
      </c>
      <c r="G1296" s="19" t="s">
        <v>2004</v>
      </c>
    </row>
    <row r="1297" spans="1:7" ht="14.25" customHeight="1">
      <c r="A1297" s="45">
        <v>1290</v>
      </c>
      <c r="B1297" s="49" t="s">
        <v>1242</v>
      </c>
      <c r="C1297" s="44" t="s">
        <v>1414</v>
      </c>
      <c r="D1297" s="42" t="s">
        <v>1412</v>
      </c>
      <c r="E1297" s="45" t="s">
        <v>1411</v>
      </c>
      <c r="F1297" s="19" t="s">
        <v>2019</v>
      </c>
      <c r="G1297" s="19" t="s">
        <v>2010</v>
      </c>
    </row>
    <row r="1298" spans="1:7" ht="14.25" customHeight="1">
      <c r="A1298" s="45">
        <v>1291</v>
      </c>
      <c r="B1298" s="49" t="s">
        <v>1241</v>
      </c>
      <c r="C1298" s="44" t="s">
        <v>1413</v>
      </c>
      <c r="D1298" s="42" t="s">
        <v>1412</v>
      </c>
      <c r="E1298" s="45" t="s">
        <v>1411</v>
      </c>
      <c r="F1298" s="19" t="s">
        <v>2019</v>
      </c>
      <c r="G1298" s="19" t="s">
        <v>2010</v>
      </c>
    </row>
    <row r="1299" spans="1:7" ht="14.25" customHeight="1">
      <c r="A1299" s="45">
        <v>1292</v>
      </c>
      <c r="B1299" s="49" t="s">
        <v>1244</v>
      </c>
      <c r="C1299" s="44" t="s">
        <v>1416</v>
      </c>
      <c r="D1299" s="42" t="s">
        <v>1412</v>
      </c>
      <c r="E1299" s="45" t="s">
        <v>1411</v>
      </c>
      <c r="F1299" s="19" t="s">
        <v>2019</v>
      </c>
      <c r="G1299" s="19" t="s">
        <v>2004</v>
      </c>
    </row>
    <row r="1300" spans="1:7" ht="14.25" customHeight="1">
      <c r="A1300" s="45">
        <v>1293</v>
      </c>
      <c r="B1300" s="49" t="s">
        <v>1249</v>
      </c>
      <c r="C1300" s="44" t="s">
        <v>1425</v>
      </c>
      <c r="D1300" s="42" t="s">
        <v>1412</v>
      </c>
      <c r="E1300" s="45" t="s">
        <v>1411</v>
      </c>
      <c r="F1300" s="19" t="s">
        <v>2019</v>
      </c>
      <c r="G1300" s="19" t="s">
        <v>2004</v>
      </c>
    </row>
    <row r="1301" spans="1:7" ht="14.25" customHeight="1">
      <c r="A1301" s="45">
        <v>1294</v>
      </c>
      <c r="B1301" s="49" t="s">
        <v>1451</v>
      </c>
      <c r="C1301" s="44" t="s">
        <v>1422</v>
      </c>
      <c r="D1301" s="42" t="s">
        <v>1412</v>
      </c>
      <c r="E1301" s="45" t="s">
        <v>1411</v>
      </c>
      <c r="F1301" s="19" t="s">
        <v>2019</v>
      </c>
      <c r="G1301" s="19" t="s">
        <v>2004</v>
      </c>
    </row>
    <row r="1302" spans="1:7" ht="14.25" customHeight="1">
      <c r="A1302" s="45">
        <v>1295</v>
      </c>
      <c r="B1302" s="36" t="s">
        <v>1716</v>
      </c>
      <c r="C1302" s="36" t="s">
        <v>1880</v>
      </c>
      <c r="D1302" s="36" t="s">
        <v>1412</v>
      </c>
      <c r="E1302" s="19" t="s">
        <v>1999</v>
      </c>
      <c r="F1302" s="19" t="s">
        <v>2013</v>
      </c>
      <c r="G1302" s="19" t="s">
        <v>2006</v>
      </c>
    </row>
    <row r="1303" spans="1:7" ht="14.25" customHeight="1">
      <c r="A1303" s="45">
        <v>1296</v>
      </c>
      <c r="B1303" s="36" t="s">
        <v>1714</v>
      </c>
      <c r="C1303" s="36" t="s">
        <v>1878</v>
      </c>
      <c r="D1303" s="36" t="s">
        <v>1412</v>
      </c>
      <c r="E1303" s="19" t="s">
        <v>1999</v>
      </c>
      <c r="F1303" s="19" t="s">
        <v>2013</v>
      </c>
      <c r="G1303" s="19" t="s">
        <v>2006</v>
      </c>
    </row>
    <row r="1304" spans="1:7" ht="14.25" customHeight="1">
      <c r="A1304" s="45">
        <v>1297</v>
      </c>
      <c r="B1304" s="36" t="s">
        <v>1711</v>
      </c>
      <c r="C1304" s="36" t="s">
        <v>1875</v>
      </c>
      <c r="D1304" s="36" t="s">
        <v>1412</v>
      </c>
      <c r="E1304" s="19" t="s">
        <v>1999</v>
      </c>
      <c r="F1304" s="19" t="s">
        <v>2013</v>
      </c>
      <c r="G1304" s="19" t="s">
        <v>736</v>
      </c>
    </row>
    <row r="1305" spans="1:7" ht="14.25" customHeight="1">
      <c r="A1305" s="45">
        <v>1298</v>
      </c>
      <c r="B1305" s="36" t="s">
        <v>1715</v>
      </c>
      <c r="C1305" s="36" t="s">
        <v>1879</v>
      </c>
      <c r="D1305" s="36" t="s">
        <v>1412</v>
      </c>
      <c r="E1305" s="19" t="s">
        <v>1999</v>
      </c>
      <c r="F1305" s="19" t="s">
        <v>2013</v>
      </c>
      <c r="G1305" s="19" t="s">
        <v>736</v>
      </c>
    </row>
    <row r="1306" spans="1:7" ht="14.25" customHeight="1">
      <c r="A1306" s="45">
        <v>1299</v>
      </c>
      <c r="B1306" s="36" t="s">
        <v>1713</v>
      </c>
      <c r="C1306" s="36" t="s">
        <v>1877</v>
      </c>
      <c r="D1306" s="36" t="s">
        <v>1412</v>
      </c>
      <c r="E1306" s="19" t="s">
        <v>1999</v>
      </c>
      <c r="F1306" s="19" t="s">
        <v>2013</v>
      </c>
      <c r="G1306" s="19" t="s">
        <v>736</v>
      </c>
    </row>
    <row r="1307" spans="1:7" ht="14.25" customHeight="1">
      <c r="A1307" s="45">
        <v>1300</v>
      </c>
      <c r="B1307" s="36" t="s">
        <v>1712</v>
      </c>
      <c r="C1307" s="36" t="s">
        <v>1876</v>
      </c>
      <c r="D1307" s="36" t="s">
        <v>1412</v>
      </c>
      <c r="E1307" s="19" t="s">
        <v>1999</v>
      </c>
      <c r="F1307" s="19" t="s">
        <v>2013</v>
      </c>
      <c r="G1307" s="19" t="s">
        <v>2006</v>
      </c>
    </row>
    <row r="1308" spans="1:7" ht="14.25" customHeight="1">
      <c r="A1308" s="45">
        <v>1301</v>
      </c>
      <c r="B1308" s="36" t="s">
        <v>1717</v>
      </c>
      <c r="C1308" s="36" t="s">
        <v>1881</v>
      </c>
      <c r="D1308" s="36" t="s">
        <v>1412</v>
      </c>
      <c r="E1308" s="19" t="s">
        <v>1999</v>
      </c>
      <c r="F1308" s="19" t="s">
        <v>2013</v>
      </c>
      <c r="G1308" s="19" t="s">
        <v>736</v>
      </c>
    </row>
    <row r="1309" spans="1:7" ht="14.25" customHeight="1">
      <c r="A1309" s="45">
        <v>1302</v>
      </c>
      <c r="B1309" s="36" t="s">
        <v>1710</v>
      </c>
      <c r="C1309" s="36" t="s">
        <v>1874</v>
      </c>
      <c r="D1309" s="36" t="s">
        <v>1412</v>
      </c>
      <c r="E1309" s="19" t="s">
        <v>1999</v>
      </c>
      <c r="F1309" s="19" t="s">
        <v>2013</v>
      </c>
      <c r="G1309" s="19" t="s">
        <v>2006</v>
      </c>
    </row>
    <row r="1310" spans="1:7" ht="14.25" customHeight="1">
      <c r="A1310" s="45">
        <v>1303</v>
      </c>
      <c r="B1310" s="50" t="s">
        <v>1771</v>
      </c>
      <c r="C1310" s="50" t="s">
        <v>1933</v>
      </c>
      <c r="D1310" s="50" t="s">
        <v>1412</v>
      </c>
      <c r="E1310" s="19" t="s">
        <v>1999</v>
      </c>
      <c r="F1310" s="45" t="s">
        <v>2012</v>
      </c>
      <c r="G1310" s="19" t="s">
        <v>2001</v>
      </c>
    </row>
    <row r="1311" spans="1:7" ht="14.25" customHeight="1">
      <c r="A1311" s="45">
        <v>1304</v>
      </c>
      <c r="B1311" s="50" t="s">
        <v>1773</v>
      </c>
      <c r="C1311" s="50" t="s">
        <v>1935</v>
      </c>
      <c r="D1311" s="50" t="s">
        <v>1412</v>
      </c>
      <c r="E1311" s="19" t="s">
        <v>1999</v>
      </c>
      <c r="F1311" s="45" t="s">
        <v>2012</v>
      </c>
      <c r="G1311" s="19" t="s">
        <v>2001</v>
      </c>
    </row>
    <row r="1312" spans="1:7" ht="14.25" customHeight="1">
      <c r="A1312" s="45">
        <v>1305</v>
      </c>
      <c r="B1312" s="50" t="s">
        <v>1772</v>
      </c>
      <c r="C1312" s="50" t="s">
        <v>1934</v>
      </c>
      <c r="D1312" s="50" t="s">
        <v>1412</v>
      </c>
      <c r="E1312" s="19" t="s">
        <v>1999</v>
      </c>
      <c r="F1312" s="45" t="s">
        <v>2012</v>
      </c>
      <c r="G1312" s="19" t="s">
        <v>2001</v>
      </c>
    </row>
    <row r="1313" spans="1:8" ht="14.25" customHeight="1">
      <c r="A1313" s="45">
        <v>1306</v>
      </c>
      <c r="B1313" s="50" t="s">
        <v>1779</v>
      </c>
      <c r="C1313" s="50" t="s">
        <v>1941</v>
      </c>
      <c r="D1313" s="50" t="s">
        <v>1412</v>
      </c>
      <c r="E1313" s="19" t="s">
        <v>1999</v>
      </c>
      <c r="F1313" s="45" t="s">
        <v>2012</v>
      </c>
      <c r="G1313" s="19" t="s">
        <v>2001</v>
      </c>
    </row>
    <row r="1314" spans="1:8" ht="14.25" customHeight="1">
      <c r="A1314" s="45">
        <v>1307</v>
      </c>
      <c r="B1314" s="50" t="s">
        <v>1783</v>
      </c>
      <c r="C1314" s="50" t="s">
        <v>1945</v>
      </c>
      <c r="D1314" s="50" t="s">
        <v>1412</v>
      </c>
      <c r="E1314" s="19" t="s">
        <v>1999</v>
      </c>
      <c r="F1314" s="45" t="s">
        <v>2012</v>
      </c>
      <c r="G1314" s="19" t="s">
        <v>2001</v>
      </c>
    </row>
    <row r="1315" spans="1:8" ht="14.25" customHeight="1">
      <c r="A1315" s="45">
        <v>1308</v>
      </c>
      <c r="B1315" s="50" t="s">
        <v>1780</v>
      </c>
      <c r="C1315" s="50" t="s">
        <v>1942</v>
      </c>
      <c r="D1315" s="50" t="s">
        <v>1412</v>
      </c>
      <c r="E1315" s="19" t="s">
        <v>1999</v>
      </c>
      <c r="F1315" s="45" t="s">
        <v>2012</v>
      </c>
      <c r="G1315" s="19" t="s">
        <v>2001</v>
      </c>
      <c r="H1315"/>
    </row>
    <row r="1316" spans="1:8" ht="14.25" customHeight="1">
      <c r="A1316" s="45">
        <v>1309</v>
      </c>
      <c r="B1316" s="50" t="s">
        <v>1781</v>
      </c>
      <c r="C1316" s="50" t="s">
        <v>1943</v>
      </c>
      <c r="D1316" s="50" t="s">
        <v>1412</v>
      </c>
      <c r="E1316" s="19" t="s">
        <v>1999</v>
      </c>
      <c r="F1316" s="45" t="s">
        <v>2012</v>
      </c>
      <c r="G1316" s="19" t="s">
        <v>2001</v>
      </c>
      <c r="H1316"/>
    </row>
    <row r="1317" spans="1:8" ht="14.25" customHeight="1">
      <c r="A1317" s="45">
        <v>1310</v>
      </c>
      <c r="B1317" s="50" t="s">
        <v>1782</v>
      </c>
      <c r="C1317" s="50" t="s">
        <v>1944</v>
      </c>
      <c r="D1317" s="50" t="s">
        <v>1412</v>
      </c>
      <c r="E1317" s="19" t="s">
        <v>1999</v>
      </c>
      <c r="F1317" s="45" t="s">
        <v>2012</v>
      </c>
      <c r="G1317" s="19" t="s">
        <v>2001</v>
      </c>
    </row>
    <row r="1318" spans="1:8" ht="14.25" customHeight="1">
      <c r="A1318" s="45">
        <v>1311</v>
      </c>
      <c r="B1318" s="50" t="s">
        <v>1778</v>
      </c>
      <c r="C1318" s="50" t="s">
        <v>1940</v>
      </c>
      <c r="D1318" s="50" t="s">
        <v>1412</v>
      </c>
      <c r="E1318" s="19" t="s">
        <v>1999</v>
      </c>
      <c r="F1318" s="45" t="s">
        <v>2012</v>
      </c>
      <c r="G1318" s="19" t="s">
        <v>2001</v>
      </c>
    </row>
    <row r="1319" spans="1:8" ht="14.25" customHeight="1">
      <c r="A1319" s="45">
        <v>1312</v>
      </c>
      <c r="B1319" s="50" t="s">
        <v>1777</v>
      </c>
      <c r="C1319" s="50" t="s">
        <v>1939</v>
      </c>
      <c r="D1319" s="50" t="s">
        <v>1412</v>
      </c>
      <c r="E1319" s="19" t="s">
        <v>1999</v>
      </c>
      <c r="F1319" s="45" t="s">
        <v>2012</v>
      </c>
      <c r="G1319" s="19" t="s">
        <v>2001</v>
      </c>
    </row>
    <row r="1320" spans="1:8" ht="14.25" customHeight="1">
      <c r="A1320" s="45">
        <v>1313</v>
      </c>
      <c r="B1320" s="50" t="s">
        <v>1775</v>
      </c>
      <c r="C1320" s="50" t="s">
        <v>1937</v>
      </c>
      <c r="D1320" s="50" t="s">
        <v>1412</v>
      </c>
      <c r="E1320" s="19" t="s">
        <v>1999</v>
      </c>
      <c r="F1320" s="45" t="s">
        <v>2012</v>
      </c>
      <c r="G1320" s="19" t="s">
        <v>2001</v>
      </c>
    </row>
    <row r="1321" spans="1:8" ht="14.25" customHeight="1">
      <c r="A1321" s="45">
        <v>1314</v>
      </c>
      <c r="B1321" s="50" t="s">
        <v>1776</v>
      </c>
      <c r="C1321" s="50" t="s">
        <v>1938</v>
      </c>
      <c r="D1321" s="50" t="s">
        <v>1412</v>
      </c>
      <c r="E1321" s="19" t="s">
        <v>1999</v>
      </c>
      <c r="F1321" s="45" t="s">
        <v>2012</v>
      </c>
      <c r="G1321" s="19" t="s">
        <v>2001</v>
      </c>
    </row>
    <row r="1322" spans="1:8" ht="14.25" customHeight="1">
      <c r="A1322" s="45">
        <v>1315</v>
      </c>
      <c r="B1322" s="50" t="s">
        <v>1774</v>
      </c>
      <c r="C1322" s="50" t="s">
        <v>1936</v>
      </c>
      <c r="D1322" s="50" t="s">
        <v>1412</v>
      </c>
      <c r="E1322" s="19" t="s">
        <v>1999</v>
      </c>
      <c r="F1322" s="45" t="s">
        <v>2012</v>
      </c>
      <c r="G1322" s="19" t="s">
        <v>2001</v>
      </c>
    </row>
    <row r="1323" spans="1:8" ht="14.25" customHeight="1">
      <c r="A1323" s="45">
        <v>1316</v>
      </c>
      <c r="B1323" s="50" t="s">
        <v>1770</v>
      </c>
      <c r="C1323" s="50" t="s">
        <v>1932</v>
      </c>
      <c r="D1323" s="50" t="s">
        <v>1412</v>
      </c>
      <c r="E1323" s="19" t="s">
        <v>1999</v>
      </c>
      <c r="F1323" s="45" t="s">
        <v>2012</v>
      </c>
      <c r="G1323" s="19" t="s">
        <v>2001</v>
      </c>
    </row>
    <row r="1324" spans="1:8" ht="14.25" customHeight="1">
      <c r="A1324" s="45">
        <v>1317</v>
      </c>
      <c r="B1324" s="254" t="s">
        <v>1808</v>
      </c>
      <c r="C1324" s="254" t="s">
        <v>1974</v>
      </c>
      <c r="D1324" s="254" t="s">
        <v>1412</v>
      </c>
      <c r="E1324" s="19" t="s">
        <v>1999</v>
      </c>
      <c r="F1324" s="19" t="s">
        <v>2017</v>
      </c>
      <c r="G1324" s="19" t="s">
        <v>2002</v>
      </c>
    </row>
    <row r="1325" spans="1:8" ht="14.25" customHeight="1">
      <c r="A1325" s="45">
        <v>1318</v>
      </c>
      <c r="B1325" s="254" t="s">
        <v>1812</v>
      </c>
      <c r="C1325" s="254" t="s">
        <v>1978</v>
      </c>
      <c r="D1325" s="254" t="s">
        <v>1412</v>
      </c>
      <c r="E1325" s="19" t="s">
        <v>1999</v>
      </c>
      <c r="F1325" s="19" t="s">
        <v>2017</v>
      </c>
      <c r="G1325" s="19" t="s">
        <v>2002</v>
      </c>
    </row>
    <row r="1326" spans="1:8" ht="14.25" customHeight="1">
      <c r="A1326" s="45">
        <v>1319</v>
      </c>
      <c r="B1326" s="254" t="s">
        <v>1809</v>
      </c>
      <c r="C1326" s="254" t="s">
        <v>1975</v>
      </c>
      <c r="D1326" s="254" t="s">
        <v>1412</v>
      </c>
      <c r="E1326" s="19" t="s">
        <v>1999</v>
      </c>
      <c r="F1326" s="19" t="s">
        <v>2017</v>
      </c>
      <c r="G1326" s="19" t="s">
        <v>2002</v>
      </c>
    </row>
    <row r="1327" spans="1:8" ht="14.25" customHeight="1">
      <c r="A1327" s="45">
        <v>1320</v>
      </c>
      <c r="B1327" s="254" t="s">
        <v>1810</v>
      </c>
      <c r="C1327" s="254" t="s">
        <v>1976</v>
      </c>
      <c r="D1327" s="254" t="s">
        <v>1412</v>
      </c>
      <c r="E1327" s="19" t="s">
        <v>1999</v>
      </c>
      <c r="F1327" s="19" t="s">
        <v>2017</v>
      </c>
      <c r="G1327" s="19" t="s">
        <v>2002</v>
      </c>
    </row>
    <row r="1328" spans="1:8" ht="14.25" customHeight="1">
      <c r="A1328" s="45">
        <v>1321</v>
      </c>
      <c r="B1328" s="254" t="s">
        <v>1811</v>
      </c>
      <c r="C1328" s="254" t="s">
        <v>1977</v>
      </c>
      <c r="D1328" s="254" t="s">
        <v>1412</v>
      </c>
      <c r="E1328" s="19" t="s">
        <v>1999</v>
      </c>
      <c r="F1328" s="19" t="s">
        <v>2017</v>
      </c>
      <c r="G1328" s="19" t="s">
        <v>2002</v>
      </c>
    </row>
    <row r="1329" spans="1:7" ht="14.25" customHeight="1">
      <c r="A1329" s="45">
        <v>1322</v>
      </c>
      <c r="B1329" s="254" t="s">
        <v>1807</v>
      </c>
      <c r="C1329" s="254" t="s">
        <v>1973</v>
      </c>
      <c r="D1329" s="254" t="s">
        <v>1412</v>
      </c>
      <c r="E1329" s="19" t="s">
        <v>1999</v>
      </c>
      <c r="F1329" s="19" t="s">
        <v>2017</v>
      </c>
      <c r="G1329" s="19" t="s">
        <v>2002</v>
      </c>
    </row>
    <row r="1330" spans="1:7" ht="14.25" customHeight="1">
      <c r="A1330" s="45">
        <v>1323</v>
      </c>
      <c r="B1330" s="254" t="s">
        <v>1806</v>
      </c>
      <c r="C1330" s="254" t="s">
        <v>1972</v>
      </c>
      <c r="D1330" s="254" t="s">
        <v>1412</v>
      </c>
      <c r="E1330" s="19" t="s">
        <v>1999</v>
      </c>
      <c r="F1330" s="19" t="s">
        <v>2017</v>
      </c>
      <c r="G1330" s="19" t="s">
        <v>2002</v>
      </c>
    </row>
    <row r="1331" spans="1:7" ht="14.25" customHeight="1">
      <c r="A1331" s="45">
        <v>1324</v>
      </c>
      <c r="B1331" s="51" t="s">
        <v>1828</v>
      </c>
      <c r="C1331" s="265" t="s">
        <v>4212</v>
      </c>
      <c r="D1331" s="51" t="s">
        <v>1412</v>
      </c>
      <c r="E1331" s="19" t="s">
        <v>1999</v>
      </c>
      <c r="F1331" s="19" t="s">
        <v>2017</v>
      </c>
      <c r="G1331" s="19" t="s">
        <v>2003</v>
      </c>
    </row>
    <row r="1332" spans="1:7" ht="14.25" customHeight="1">
      <c r="A1332" s="45">
        <v>1325</v>
      </c>
      <c r="B1332" s="51" t="s">
        <v>1829</v>
      </c>
      <c r="C1332" s="265" t="s">
        <v>4213</v>
      </c>
      <c r="D1332" s="51" t="s">
        <v>1412</v>
      </c>
      <c r="E1332" s="19" t="s">
        <v>1999</v>
      </c>
      <c r="F1332" s="19" t="s">
        <v>2017</v>
      </c>
      <c r="G1332" s="19" t="s">
        <v>2003</v>
      </c>
    </row>
    <row r="1333" spans="1:7" ht="14.25" customHeight="1">
      <c r="A1333" s="45">
        <v>1326</v>
      </c>
      <c r="B1333" s="51" t="s">
        <v>1827</v>
      </c>
      <c r="C1333" s="265" t="s">
        <v>4211</v>
      </c>
      <c r="D1333" s="51" t="s">
        <v>1412</v>
      </c>
      <c r="E1333" s="19" t="s">
        <v>1999</v>
      </c>
      <c r="F1333" s="19" t="s">
        <v>2017</v>
      </c>
      <c r="G1333" s="19" t="s">
        <v>2003</v>
      </c>
    </row>
    <row r="1334" spans="1:7" ht="14.25" customHeight="1">
      <c r="A1334" s="45">
        <v>1327</v>
      </c>
      <c r="B1334" s="49" t="s">
        <v>522</v>
      </c>
      <c r="C1334" s="44" t="s">
        <v>1435</v>
      </c>
      <c r="D1334" s="42" t="s">
        <v>1412</v>
      </c>
      <c r="E1334" s="45" t="s">
        <v>1411</v>
      </c>
      <c r="F1334" s="19" t="s">
        <v>2017</v>
      </c>
      <c r="G1334" s="19" t="s">
        <v>2004</v>
      </c>
    </row>
    <row r="1335" spans="1:7" ht="14.25" customHeight="1">
      <c r="A1335" s="45">
        <v>1328</v>
      </c>
      <c r="B1335" s="49" t="s">
        <v>520</v>
      </c>
      <c r="C1335" s="44" t="s">
        <v>1434</v>
      </c>
      <c r="D1335" s="42" t="s">
        <v>1412</v>
      </c>
      <c r="E1335" s="45" t="s">
        <v>1411</v>
      </c>
      <c r="F1335" s="19" t="s">
        <v>2017</v>
      </c>
      <c r="G1335" s="19" t="s">
        <v>2004</v>
      </c>
    </row>
    <row r="1336" spans="1:7" ht="14.25" customHeight="1">
      <c r="A1336" s="45">
        <v>1329</v>
      </c>
      <c r="B1336" s="49" t="s">
        <v>510</v>
      </c>
      <c r="C1336" s="44" t="s">
        <v>1430</v>
      </c>
      <c r="D1336" s="42" t="s">
        <v>1412</v>
      </c>
      <c r="E1336" s="45" t="s">
        <v>1411</v>
      </c>
      <c r="F1336" s="19" t="s">
        <v>2017</v>
      </c>
      <c r="G1336" s="19" t="s">
        <v>2004</v>
      </c>
    </row>
    <row r="1337" spans="1:7" ht="14.25" customHeight="1">
      <c r="A1337" s="45">
        <v>1330</v>
      </c>
      <c r="B1337" s="49" t="s">
        <v>514</v>
      </c>
      <c r="C1337" s="44" t="s">
        <v>1432</v>
      </c>
      <c r="D1337" s="42" t="s">
        <v>1412</v>
      </c>
      <c r="E1337" s="45" t="s">
        <v>1411</v>
      </c>
      <c r="F1337" s="19" t="s">
        <v>2017</v>
      </c>
      <c r="G1337" s="19" t="s">
        <v>2004</v>
      </c>
    </row>
    <row r="1338" spans="1:7" ht="14.25" customHeight="1">
      <c r="A1338" s="45">
        <v>1331</v>
      </c>
      <c r="B1338" s="49" t="s">
        <v>512</v>
      </c>
      <c r="C1338" s="44" t="s">
        <v>1431</v>
      </c>
      <c r="D1338" s="42" t="s">
        <v>1412</v>
      </c>
      <c r="E1338" s="45" t="s">
        <v>1411</v>
      </c>
      <c r="F1338" s="19" t="s">
        <v>2017</v>
      </c>
      <c r="G1338" s="19" t="s">
        <v>2004</v>
      </c>
    </row>
    <row r="1339" spans="1:7" ht="14.25" customHeight="1">
      <c r="A1339" s="45">
        <v>1332</v>
      </c>
      <c r="B1339" s="49" t="s">
        <v>517</v>
      </c>
      <c r="C1339" s="44" t="s">
        <v>1433</v>
      </c>
      <c r="D1339" s="42" t="s">
        <v>1412</v>
      </c>
      <c r="E1339" s="45" t="s">
        <v>1411</v>
      </c>
      <c r="F1339" s="19" t="s">
        <v>2017</v>
      </c>
      <c r="G1339" s="19" t="s">
        <v>2004</v>
      </c>
    </row>
    <row r="1340" spans="1:7" ht="14.25" customHeight="1">
      <c r="A1340" s="45">
        <v>1333</v>
      </c>
      <c r="B1340" s="49" t="s">
        <v>1453</v>
      </c>
      <c r="C1340" s="44" t="s">
        <v>1436</v>
      </c>
      <c r="D1340" s="42" t="s">
        <v>1412</v>
      </c>
      <c r="E1340" s="45" t="s">
        <v>1411</v>
      </c>
      <c r="F1340" s="19" t="s">
        <v>2017</v>
      </c>
      <c r="G1340" s="19" t="s">
        <v>2004</v>
      </c>
    </row>
    <row r="1341" spans="1:7" ht="14.25" customHeight="1">
      <c r="A1341" s="45">
        <v>1334</v>
      </c>
      <c r="B1341" s="49" t="s">
        <v>509</v>
      </c>
      <c r="C1341" s="44" t="s">
        <v>1429</v>
      </c>
      <c r="D1341" s="42" t="s">
        <v>1412</v>
      </c>
      <c r="E1341" s="45" t="s">
        <v>1411</v>
      </c>
      <c r="F1341" s="19" t="s">
        <v>2017</v>
      </c>
      <c r="G1341" s="19" t="s">
        <v>2004</v>
      </c>
    </row>
    <row r="1342" spans="1:7" ht="14.25" customHeight="1">
      <c r="A1342" s="45">
        <v>1335</v>
      </c>
      <c r="B1342" s="49" t="s">
        <v>507</v>
      </c>
      <c r="C1342" s="44" t="s">
        <v>1428</v>
      </c>
      <c r="D1342" s="42" t="s">
        <v>1412</v>
      </c>
      <c r="E1342" s="45" t="s">
        <v>1411</v>
      </c>
      <c r="F1342" s="19" t="s">
        <v>2017</v>
      </c>
      <c r="G1342" s="19" t="s">
        <v>2004</v>
      </c>
    </row>
    <row r="1343" spans="1:7" ht="14.25" customHeight="1">
      <c r="A1343" s="45">
        <v>1336</v>
      </c>
      <c r="B1343" s="36" t="s">
        <v>1732</v>
      </c>
      <c r="C1343" s="36" t="s">
        <v>1894</v>
      </c>
      <c r="D1343" s="36" t="s">
        <v>1412</v>
      </c>
      <c r="E1343" s="19" t="s">
        <v>1999</v>
      </c>
      <c r="F1343" s="19" t="s">
        <v>2014</v>
      </c>
      <c r="G1343" s="19" t="s">
        <v>736</v>
      </c>
    </row>
    <row r="1344" spans="1:7" ht="14.25" customHeight="1">
      <c r="A1344" s="45">
        <v>1337</v>
      </c>
      <c r="B1344" s="36" t="s">
        <v>1720</v>
      </c>
      <c r="C1344" s="36" t="s">
        <v>1884</v>
      </c>
      <c r="D1344" s="36" t="s">
        <v>1412</v>
      </c>
      <c r="E1344" s="19" t="s">
        <v>1999</v>
      </c>
      <c r="F1344" s="19" t="s">
        <v>2014</v>
      </c>
      <c r="G1344" s="19" t="s">
        <v>736</v>
      </c>
    </row>
    <row r="1345" spans="1:7" ht="14.25" customHeight="1">
      <c r="A1345" s="45">
        <v>1338</v>
      </c>
      <c r="B1345" s="36" t="s">
        <v>1730</v>
      </c>
      <c r="C1345" s="36" t="s">
        <v>1892</v>
      </c>
      <c r="D1345" s="36" t="s">
        <v>1412</v>
      </c>
      <c r="E1345" s="19" t="s">
        <v>1999</v>
      </c>
      <c r="F1345" s="19" t="s">
        <v>2014</v>
      </c>
      <c r="G1345" s="19" t="s">
        <v>736</v>
      </c>
    </row>
    <row r="1346" spans="1:7" ht="14.25" customHeight="1">
      <c r="A1346" s="45">
        <v>1339</v>
      </c>
      <c r="B1346" s="36" t="s">
        <v>1718</v>
      </c>
      <c r="C1346" s="36" t="s">
        <v>1882</v>
      </c>
      <c r="D1346" s="36" t="s">
        <v>1412</v>
      </c>
      <c r="E1346" s="19" t="s">
        <v>1999</v>
      </c>
      <c r="F1346" s="19" t="s">
        <v>2014</v>
      </c>
      <c r="G1346" s="19" t="s">
        <v>736</v>
      </c>
    </row>
    <row r="1347" spans="1:7" ht="14.25" customHeight="1">
      <c r="A1347" s="45">
        <v>1340</v>
      </c>
      <c r="B1347" s="36" t="s">
        <v>1724</v>
      </c>
      <c r="C1347" s="36" t="s">
        <v>1724</v>
      </c>
      <c r="D1347" s="36" t="s">
        <v>1412</v>
      </c>
      <c r="E1347" s="19" t="s">
        <v>1999</v>
      </c>
      <c r="F1347" s="19" t="s">
        <v>2014</v>
      </c>
      <c r="G1347" s="19" t="s">
        <v>736</v>
      </c>
    </row>
    <row r="1348" spans="1:7" ht="14.25" customHeight="1">
      <c r="A1348" s="45">
        <v>1341</v>
      </c>
      <c r="B1348" s="36" t="s">
        <v>1734</v>
      </c>
      <c r="C1348" s="36" t="s">
        <v>1895</v>
      </c>
      <c r="D1348" s="36" t="s">
        <v>1412</v>
      </c>
      <c r="E1348" s="19" t="s">
        <v>1999</v>
      </c>
      <c r="F1348" s="19" t="s">
        <v>2014</v>
      </c>
      <c r="G1348" s="19" t="s">
        <v>736</v>
      </c>
    </row>
    <row r="1349" spans="1:7" ht="14.25" customHeight="1">
      <c r="A1349" s="45">
        <v>1342</v>
      </c>
      <c r="B1349" s="36" t="s">
        <v>1719</v>
      </c>
      <c r="C1349" s="36" t="s">
        <v>1883</v>
      </c>
      <c r="D1349" s="36" t="s">
        <v>1412</v>
      </c>
      <c r="E1349" s="19" t="s">
        <v>1999</v>
      </c>
      <c r="F1349" s="19" t="s">
        <v>2014</v>
      </c>
      <c r="G1349" s="19" t="s">
        <v>2006</v>
      </c>
    </row>
    <row r="1350" spans="1:7" ht="14.25" customHeight="1">
      <c r="A1350" s="45">
        <v>1343</v>
      </c>
      <c r="B1350" s="36" t="s">
        <v>1723</v>
      </c>
      <c r="C1350" s="36" t="s">
        <v>1887</v>
      </c>
      <c r="D1350" s="36" t="s">
        <v>1412</v>
      </c>
      <c r="E1350" s="19" t="s">
        <v>1999</v>
      </c>
      <c r="F1350" s="19" t="s">
        <v>2014</v>
      </c>
      <c r="G1350" s="19" t="s">
        <v>2006</v>
      </c>
    </row>
    <row r="1351" spans="1:7" ht="14.25" customHeight="1">
      <c r="A1351" s="45">
        <v>1344</v>
      </c>
      <c r="B1351" s="36" t="s">
        <v>1721</v>
      </c>
      <c r="C1351" s="36" t="s">
        <v>1885</v>
      </c>
      <c r="D1351" s="36" t="s">
        <v>1412</v>
      </c>
      <c r="E1351" s="19" t="s">
        <v>1999</v>
      </c>
      <c r="F1351" s="19" t="s">
        <v>2014</v>
      </c>
      <c r="G1351" s="19" t="s">
        <v>2006</v>
      </c>
    </row>
    <row r="1352" spans="1:7" ht="14.25" customHeight="1">
      <c r="A1352" s="45">
        <v>1345</v>
      </c>
      <c r="B1352" s="36" t="s">
        <v>1728</v>
      </c>
      <c r="C1352" s="36" t="s">
        <v>1890</v>
      </c>
      <c r="D1352" s="36" t="s">
        <v>1412</v>
      </c>
      <c r="E1352" s="19" t="s">
        <v>1999</v>
      </c>
      <c r="F1352" s="19" t="s">
        <v>2014</v>
      </c>
      <c r="G1352" s="19" t="s">
        <v>736</v>
      </c>
    </row>
    <row r="1353" spans="1:7" ht="14.25" customHeight="1">
      <c r="A1353" s="45">
        <v>1346</v>
      </c>
      <c r="B1353" s="36" t="s">
        <v>1725</v>
      </c>
      <c r="C1353" s="36" t="s">
        <v>1888</v>
      </c>
      <c r="D1353" s="36" t="s">
        <v>1412</v>
      </c>
      <c r="E1353" s="19" t="s">
        <v>1999</v>
      </c>
      <c r="F1353" s="19" t="s">
        <v>2014</v>
      </c>
      <c r="G1353" s="19" t="s">
        <v>2006</v>
      </c>
    </row>
    <row r="1354" spans="1:7" ht="14.25" customHeight="1">
      <c r="A1354" s="45">
        <v>1347</v>
      </c>
      <c r="B1354" s="36" t="s">
        <v>1726</v>
      </c>
      <c r="C1354" s="36" t="s">
        <v>1889</v>
      </c>
      <c r="D1354" s="36" t="s">
        <v>1412</v>
      </c>
      <c r="E1354" s="19" t="s">
        <v>1999</v>
      </c>
      <c r="F1354" s="19" t="s">
        <v>2014</v>
      </c>
      <c r="G1354" s="19" t="s">
        <v>736</v>
      </c>
    </row>
    <row r="1355" spans="1:7" ht="14.25" customHeight="1">
      <c r="A1355" s="45">
        <v>1348</v>
      </c>
      <c r="B1355" s="36" t="s">
        <v>1729</v>
      </c>
      <c r="C1355" s="36" t="s">
        <v>1891</v>
      </c>
      <c r="D1355" s="36" t="s">
        <v>1412</v>
      </c>
      <c r="E1355" s="19" t="s">
        <v>1999</v>
      </c>
      <c r="F1355" s="19" t="s">
        <v>2014</v>
      </c>
      <c r="G1355" s="19" t="s">
        <v>2006</v>
      </c>
    </row>
    <row r="1356" spans="1:7" ht="14.25" customHeight="1">
      <c r="A1356" s="45">
        <v>1349</v>
      </c>
      <c r="B1356" s="36" t="s">
        <v>1731</v>
      </c>
      <c r="C1356" s="36" t="s">
        <v>1893</v>
      </c>
      <c r="D1356" s="36" t="s">
        <v>1412</v>
      </c>
      <c r="E1356" s="19" t="s">
        <v>1999</v>
      </c>
      <c r="F1356" s="19" t="s">
        <v>2014</v>
      </c>
      <c r="G1356" s="19" t="s">
        <v>2006</v>
      </c>
    </row>
    <row r="1357" spans="1:7" ht="14.25" customHeight="1">
      <c r="A1357" s="45">
        <v>1350</v>
      </c>
      <c r="B1357" s="36" t="s">
        <v>1727</v>
      </c>
      <c r="C1357" s="36" t="s">
        <v>1727</v>
      </c>
      <c r="D1357" s="36" t="s">
        <v>1412</v>
      </c>
      <c r="E1357" s="19" t="s">
        <v>1999</v>
      </c>
      <c r="F1357" s="19" t="s">
        <v>2014</v>
      </c>
      <c r="G1357" s="19" t="s">
        <v>2006</v>
      </c>
    </row>
    <row r="1358" spans="1:7" ht="14.25" customHeight="1">
      <c r="A1358" s="45">
        <v>1351</v>
      </c>
      <c r="B1358" s="36" t="s">
        <v>1722</v>
      </c>
      <c r="C1358" s="36" t="s">
        <v>1886</v>
      </c>
      <c r="D1358" s="36" t="s">
        <v>1412</v>
      </c>
      <c r="E1358" s="19" t="s">
        <v>1999</v>
      </c>
      <c r="F1358" s="19" t="s">
        <v>2014</v>
      </c>
      <c r="G1358" s="19" t="s">
        <v>736</v>
      </c>
    </row>
    <row r="1359" spans="1:7" ht="14.25" customHeight="1">
      <c r="A1359" s="45">
        <v>1352</v>
      </c>
      <c r="B1359" s="36" t="s">
        <v>1733</v>
      </c>
      <c r="C1359" s="36" t="s">
        <v>1733</v>
      </c>
      <c r="D1359" s="36" t="s">
        <v>1412</v>
      </c>
      <c r="E1359" s="19" t="s">
        <v>1999</v>
      </c>
      <c r="F1359" s="19" t="s">
        <v>2014</v>
      </c>
      <c r="G1359" s="19" t="s">
        <v>2006</v>
      </c>
    </row>
    <row r="1360" spans="1:7" ht="14.25" customHeight="1">
      <c r="A1360" s="45">
        <v>1353</v>
      </c>
      <c r="B1360" s="176" t="s">
        <v>2745</v>
      </c>
      <c r="C1360" s="50" t="s">
        <v>1955</v>
      </c>
      <c r="D1360" s="50" t="s">
        <v>1412</v>
      </c>
      <c r="E1360" s="19" t="s">
        <v>1999</v>
      </c>
      <c r="F1360" s="19" t="s">
        <v>2015</v>
      </c>
      <c r="G1360" s="19" t="s">
        <v>2001</v>
      </c>
    </row>
    <row r="1361" spans="1:7" ht="14.25" customHeight="1">
      <c r="A1361" s="45">
        <v>1354</v>
      </c>
      <c r="B1361" s="50" t="s">
        <v>1787</v>
      </c>
      <c r="C1361" s="50" t="s">
        <v>1950</v>
      </c>
      <c r="D1361" s="50" t="s">
        <v>1412</v>
      </c>
      <c r="E1361" s="19" t="s">
        <v>1999</v>
      </c>
      <c r="F1361" s="19" t="s">
        <v>2015</v>
      </c>
      <c r="G1361" s="19" t="s">
        <v>2001</v>
      </c>
    </row>
    <row r="1362" spans="1:7" ht="14.25" customHeight="1">
      <c r="A1362" s="45">
        <v>1355</v>
      </c>
      <c r="B1362" s="50" t="s">
        <v>1791</v>
      </c>
      <c r="C1362" s="50" t="s">
        <v>1954</v>
      </c>
      <c r="D1362" s="50" t="s">
        <v>1412</v>
      </c>
      <c r="E1362" s="19" t="s">
        <v>1999</v>
      </c>
      <c r="F1362" s="19" t="s">
        <v>2015</v>
      </c>
      <c r="G1362" s="19" t="s">
        <v>2001</v>
      </c>
    </row>
    <row r="1363" spans="1:7" ht="14.25" customHeight="1">
      <c r="A1363" s="45">
        <v>1356</v>
      </c>
      <c r="B1363" s="50" t="s">
        <v>1788</v>
      </c>
      <c r="C1363" s="50" t="s">
        <v>1951</v>
      </c>
      <c r="D1363" s="50" t="s">
        <v>1412</v>
      </c>
      <c r="E1363" s="19" t="s">
        <v>1999</v>
      </c>
      <c r="F1363" s="19" t="s">
        <v>2015</v>
      </c>
      <c r="G1363" s="19" t="s">
        <v>2001</v>
      </c>
    </row>
    <row r="1364" spans="1:7" ht="14.25" customHeight="1">
      <c r="A1364" s="45">
        <v>1357</v>
      </c>
      <c r="B1364" s="50" t="s">
        <v>1789</v>
      </c>
      <c r="C1364" s="50" t="s">
        <v>1952</v>
      </c>
      <c r="D1364" s="50" t="s">
        <v>1412</v>
      </c>
      <c r="E1364" s="19" t="s">
        <v>1999</v>
      </c>
      <c r="F1364" s="19" t="s">
        <v>2015</v>
      </c>
      <c r="G1364" s="19" t="s">
        <v>2001</v>
      </c>
    </row>
    <row r="1365" spans="1:7" ht="14.25" customHeight="1">
      <c r="A1365" s="45">
        <v>1358</v>
      </c>
      <c r="B1365" s="50" t="s">
        <v>1790</v>
      </c>
      <c r="C1365" s="50" t="s">
        <v>1953</v>
      </c>
      <c r="D1365" s="50" t="s">
        <v>1412</v>
      </c>
      <c r="E1365" s="19" t="s">
        <v>1999</v>
      </c>
      <c r="F1365" s="19" t="s">
        <v>2015</v>
      </c>
      <c r="G1365" s="19" t="s">
        <v>2001</v>
      </c>
    </row>
    <row r="1366" spans="1:7" ht="14.25" customHeight="1">
      <c r="A1366" s="45">
        <v>1359</v>
      </c>
      <c r="B1366" s="50" t="s">
        <v>1786</v>
      </c>
      <c r="C1366" s="50" t="s">
        <v>1949</v>
      </c>
      <c r="D1366" s="50" t="s">
        <v>1412</v>
      </c>
      <c r="E1366" s="19" t="s">
        <v>1999</v>
      </c>
      <c r="F1366" s="19" t="s">
        <v>2015</v>
      </c>
      <c r="G1366" s="19" t="s">
        <v>2001</v>
      </c>
    </row>
    <row r="1367" spans="1:7" ht="14.25" customHeight="1">
      <c r="A1367" s="45">
        <v>1360</v>
      </c>
      <c r="B1367" s="50" t="s">
        <v>1793</v>
      </c>
      <c r="C1367" s="50" t="s">
        <v>1957</v>
      </c>
      <c r="D1367" s="50" t="s">
        <v>1412</v>
      </c>
      <c r="E1367" s="19" t="s">
        <v>1999</v>
      </c>
      <c r="F1367" s="19" t="s">
        <v>2015</v>
      </c>
      <c r="G1367" s="19" t="s">
        <v>2001</v>
      </c>
    </row>
    <row r="1368" spans="1:7" ht="14.25" customHeight="1">
      <c r="A1368" s="45">
        <v>1361</v>
      </c>
      <c r="B1368" s="50" t="s">
        <v>1794</v>
      </c>
      <c r="C1368" s="50" t="s">
        <v>1958</v>
      </c>
      <c r="D1368" s="50" t="s">
        <v>1412</v>
      </c>
      <c r="E1368" s="19" t="s">
        <v>1999</v>
      </c>
      <c r="F1368" s="19" t="s">
        <v>2015</v>
      </c>
      <c r="G1368" s="19" t="s">
        <v>2001</v>
      </c>
    </row>
    <row r="1369" spans="1:7" ht="14.25" customHeight="1">
      <c r="A1369" s="45">
        <v>1362</v>
      </c>
      <c r="B1369" s="50" t="s">
        <v>1792</v>
      </c>
      <c r="C1369" s="50" t="s">
        <v>1956</v>
      </c>
      <c r="D1369" s="50" t="s">
        <v>1412</v>
      </c>
      <c r="E1369" s="19" t="s">
        <v>1999</v>
      </c>
      <c r="F1369" s="19" t="s">
        <v>2015</v>
      </c>
      <c r="G1369" s="19" t="s">
        <v>2001</v>
      </c>
    </row>
    <row r="1370" spans="1:7" ht="14.25" customHeight="1">
      <c r="A1370" s="45">
        <v>1363</v>
      </c>
      <c r="B1370" s="50" t="s">
        <v>1785</v>
      </c>
      <c r="C1370" s="50" t="s">
        <v>1948</v>
      </c>
      <c r="D1370" s="50" t="s">
        <v>1412</v>
      </c>
      <c r="E1370" s="19" t="s">
        <v>1999</v>
      </c>
      <c r="F1370" s="19" t="s">
        <v>2015</v>
      </c>
      <c r="G1370" s="19" t="s">
        <v>2001</v>
      </c>
    </row>
    <row r="1371" spans="1:7" ht="14.25" customHeight="1">
      <c r="A1371" s="45">
        <v>1364</v>
      </c>
      <c r="B1371" s="50" t="s">
        <v>1784</v>
      </c>
      <c r="C1371" s="50" t="s">
        <v>1947</v>
      </c>
      <c r="D1371" s="50" t="s">
        <v>1412</v>
      </c>
      <c r="E1371" s="19" t="s">
        <v>1999</v>
      </c>
      <c r="F1371" s="19" t="s">
        <v>2015</v>
      </c>
      <c r="G1371" s="19" t="s">
        <v>2001</v>
      </c>
    </row>
    <row r="1372" spans="1:7" ht="14.25" customHeight="1">
      <c r="A1372" s="45">
        <v>1365</v>
      </c>
      <c r="B1372" s="50" t="s">
        <v>1795</v>
      </c>
      <c r="C1372" s="50" t="s">
        <v>1959</v>
      </c>
      <c r="D1372" s="50" t="s">
        <v>1412</v>
      </c>
      <c r="E1372" s="19" t="s">
        <v>1999</v>
      </c>
      <c r="F1372" s="19" t="s">
        <v>2015</v>
      </c>
      <c r="G1372" s="19" t="s">
        <v>2001</v>
      </c>
    </row>
    <row r="1373" spans="1:7" ht="14.25" customHeight="1">
      <c r="A1373" s="45">
        <v>1366</v>
      </c>
      <c r="B1373" s="254" t="s">
        <v>1818</v>
      </c>
      <c r="C1373" s="254" t="s">
        <v>1984</v>
      </c>
      <c r="D1373" s="254" t="s">
        <v>1412</v>
      </c>
      <c r="E1373" s="19" t="s">
        <v>1999</v>
      </c>
      <c r="F1373" s="19" t="s">
        <v>2018</v>
      </c>
      <c r="G1373" s="19" t="s">
        <v>2002</v>
      </c>
    </row>
    <row r="1374" spans="1:7" ht="14.25" customHeight="1">
      <c r="A1374" s="45">
        <v>1367</v>
      </c>
      <c r="B1374" s="254" t="s">
        <v>1814</v>
      </c>
      <c r="C1374" s="254" t="s">
        <v>1980</v>
      </c>
      <c r="D1374" s="254" t="s">
        <v>1412</v>
      </c>
      <c r="E1374" s="19" t="s">
        <v>1999</v>
      </c>
      <c r="F1374" s="19" t="s">
        <v>2018</v>
      </c>
      <c r="G1374" s="19" t="s">
        <v>2002</v>
      </c>
    </row>
    <row r="1375" spans="1:7" ht="14.25" customHeight="1">
      <c r="A1375" s="45">
        <v>1368</v>
      </c>
      <c r="B1375" s="254" t="s">
        <v>1815</v>
      </c>
      <c r="C1375" s="254" t="s">
        <v>1981</v>
      </c>
      <c r="D1375" s="254" t="s">
        <v>1412</v>
      </c>
      <c r="E1375" s="19" t="s">
        <v>1999</v>
      </c>
      <c r="F1375" s="19" t="s">
        <v>2018</v>
      </c>
      <c r="G1375" s="19" t="s">
        <v>2002</v>
      </c>
    </row>
    <row r="1376" spans="1:7" ht="14.25" customHeight="1">
      <c r="A1376" s="45">
        <v>1369</v>
      </c>
      <c r="B1376" s="254" t="s">
        <v>1816</v>
      </c>
      <c r="C1376" s="254" t="s">
        <v>1982</v>
      </c>
      <c r="D1376" s="254" t="s">
        <v>1412</v>
      </c>
      <c r="E1376" s="19" t="s">
        <v>1999</v>
      </c>
      <c r="F1376" s="19" t="s">
        <v>2018</v>
      </c>
      <c r="G1376" s="19" t="s">
        <v>2002</v>
      </c>
    </row>
    <row r="1377" spans="1:7" ht="14.25" customHeight="1">
      <c r="A1377" s="45">
        <v>1370</v>
      </c>
      <c r="B1377" s="254" t="s">
        <v>1817</v>
      </c>
      <c r="C1377" s="254" t="s">
        <v>1983</v>
      </c>
      <c r="D1377" s="254" t="s">
        <v>1412</v>
      </c>
      <c r="E1377" s="19" t="s">
        <v>1999</v>
      </c>
      <c r="F1377" s="19" t="s">
        <v>2018</v>
      </c>
      <c r="G1377" s="19" t="s">
        <v>2002</v>
      </c>
    </row>
    <row r="1378" spans="1:7" ht="14.25" customHeight="1">
      <c r="A1378" s="45">
        <v>1371</v>
      </c>
      <c r="B1378" s="254" t="s">
        <v>1813</v>
      </c>
      <c r="C1378" s="254" t="s">
        <v>1979</v>
      </c>
      <c r="D1378" s="254" t="s">
        <v>1412</v>
      </c>
      <c r="E1378" s="19" t="s">
        <v>1999</v>
      </c>
      <c r="F1378" s="19" t="s">
        <v>2018</v>
      </c>
      <c r="G1378" s="19" t="s">
        <v>2002</v>
      </c>
    </row>
    <row r="1379" spans="1:7" ht="14.25" customHeight="1">
      <c r="A1379" s="45">
        <v>1372</v>
      </c>
      <c r="B1379" s="51" t="s">
        <v>1831</v>
      </c>
      <c r="C1379" s="51" t="s">
        <v>1996</v>
      </c>
      <c r="D1379" s="51" t="s">
        <v>1412</v>
      </c>
      <c r="E1379" s="19" t="s">
        <v>1999</v>
      </c>
      <c r="F1379" s="19" t="s">
        <v>2018</v>
      </c>
      <c r="G1379" s="19" t="s">
        <v>2003</v>
      </c>
    </row>
    <row r="1380" spans="1:7" ht="14.25" customHeight="1">
      <c r="A1380" s="45">
        <v>1373</v>
      </c>
      <c r="B1380" s="51" t="s">
        <v>1832</v>
      </c>
      <c r="C1380" s="51" t="s">
        <v>1997</v>
      </c>
      <c r="D1380" s="51" t="s">
        <v>1412</v>
      </c>
      <c r="E1380" s="19" t="s">
        <v>1999</v>
      </c>
      <c r="F1380" s="19" t="s">
        <v>2018</v>
      </c>
      <c r="G1380" s="19" t="s">
        <v>2003</v>
      </c>
    </row>
    <row r="1381" spans="1:7" ht="14.25" customHeight="1">
      <c r="A1381" s="45">
        <v>1374</v>
      </c>
      <c r="B1381" s="51" t="s">
        <v>1833</v>
      </c>
      <c r="C1381" s="51" t="s">
        <v>1998</v>
      </c>
      <c r="D1381" s="51" t="s">
        <v>1412</v>
      </c>
      <c r="E1381" s="19" t="s">
        <v>1999</v>
      </c>
      <c r="F1381" s="19" t="s">
        <v>2018</v>
      </c>
      <c r="G1381" s="19" t="s">
        <v>2003</v>
      </c>
    </row>
    <row r="1382" spans="1:7" ht="14.25" customHeight="1">
      <c r="A1382" s="45">
        <v>1375</v>
      </c>
      <c r="B1382" s="51" t="s">
        <v>1830</v>
      </c>
      <c r="C1382" s="51" t="s">
        <v>1995</v>
      </c>
      <c r="D1382" s="51" t="s">
        <v>1412</v>
      </c>
      <c r="E1382" s="19" t="s">
        <v>1999</v>
      </c>
      <c r="F1382" s="19" t="s">
        <v>2018</v>
      </c>
      <c r="G1382" s="19" t="s">
        <v>2003</v>
      </c>
    </row>
    <row r="1383" spans="1:7" ht="14.25" customHeight="1">
      <c r="A1383" s="45">
        <v>1376</v>
      </c>
      <c r="B1383" s="49" t="s">
        <v>1456</v>
      </c>
      <c r="C1383" s="44" t="s">
        <v>1446</v>
      </c>
      <c r="D1383" s="42" t="s">
        <v>1412</v>
      </c>
      <c r="E1383" s="45" t="s">
        <v>1411</v>
      </c>
      <c r="F1383" s="19" t="s">
        <v>2018</v>
      </c>
      <c r="G1383" s="19" t="s">
        <v>2004</v>
      </c>
    </row>
    <row r="1384" spans="1:7" ht="14.25" customHeight="1">
      <c r="A1384" s="45">
        <v>1377</v>
      </c>
      <c r="B1384" s="49" t="s">
        <v>1455</v>
      </c>
      <c r="C1384" s="44" t="s">
        <v>1445</v>
      </c>
      <c r="D1384" s="42" t="s">
        <v>1412</v>
      </c>
      <c r="E1384" s="45" t="s">
        <v>1411</v>
      </c>
      <c r="F1384" s="19" t="s">
        <v>2018</v>
      </c>
      <c r="G1384" s="19" t="s">
        <v>2004</v>
      </c>
    </row>
    <row r="1385" spans="1:7" ht="14.25" customHeight="1">
      <c r="A1385" s="45">
        <v>1378</v>
      </c>
      <c r="B1385" s="49" t="s">
        <v>537</v>
      </c>
      <c r="C1385" s="56" t="s">
        <v>4214</v>
      </c>
      <c r="D1385" s="42" t="s">
        <v>1412</v>
      </c>
      <c r="E1385" s="45" t="s">
        <v>1411</v>
      </c>
      <c r="F1385" s="19" t="s">
        <v>2018</v>
      </c>
      <c r="G1385" s="19" t="s">
        <v>2004</v>
      </c>
    </row>
    <row r="1386" spans="1:7" ht="14.25" customHeight="1">
      <c r="A1386" s="45">
        <v>1379</v>
      </c>
      <c r="B1386" s="49" t="s">
        <v>1454</v>
      </c>
      <c r="C1386" s="44" t="s">
        <v>1444</v>
      </c>
      <c r="D1386" s="42" t="s">
        <v>1412</v>
      </c>
      <c r="E1386" s="45" t="s">
        <v>1411</v>
      </c>
      <c r="F1386" s="19" t="s">
        <v>2018</v>
      </c>
      <c r="G1386" s="19" t="s">
        <v>2004</v>
      </c>
    </row>
    <row r="1387" spans="1:7" ht="14.25" customHeight="1">
      <c r="A1387" s="45">
        <v>1380</v>
      </c>
      <c r="B1387" s="49" t="s">
        <v>527</v>
      </c>
      <c r="C1387" s="44" t="s">
        <v>1438</v>
      </c>
      <c r="D1387" s="42" t="s">
        <v>1412</v>
      </c>
      <c r="E1387" s="45" t="s">
        <v>1411</v>
      </c>
      <c r="F1387" s="19" t="s">
        <v>2018</v>
      </c>
      <c r="G1387" s="19" t="s">
        <v>2004</v>
      </c>
    </row>
    <row r="1388" spans="1:7" ht="14.25" customHeight="1">
      <c r="A1388" s="45">
        <v>1381</v>
      </c>
      <c r="B1388" s="49" t="s">
        <v>531</v>
      </c>
      <c r="C1388" s="44" t="s">
        <v>1442</v>
      </c>
      <c r="D1388" s="42" t="s">
        <v>1412</v>
      </c>
      <c r="E1388" s="45" t="s">
        <v>1411</v>
      </c>
      <c r="F1388" s="19" t="s">
        <v>2018</v>
      </c>
      <c r="G1388" s="19" t="s">
        <v>2004</v>
      </c>
    </row>
    <row r="1389" spans="1:7" ht="14.25" customHeight="1">
      <c r="A1389" s="45">
        <v>1382</v>
      </c>
      <c r="B1389" s="49" t="s">
        <v>532</v>
      </c>
      <c r="C1389" s="44" t="s">
        <v>1443</v>
      </c>
      <c r="D1389" s="42" t="s">
        <v>1412</v>
      </c>
      <c r="E1389" s="45" t="s">
        <v>1411</v>
      </c>
      <c r="F1389" s="19" t="s">
        <v>2018</v>
      </c>
      <c r="G1389" s="19" t="s">
        <v>2004</v>
      </c>
    </row>
    <row r="1390" spans="1:7" ht="14.25" customHeight="1">
      <c r="A1390" s="45">
        <v>1383</v>
      </c>
      <c r="B1390" s="49" t="s">
        <v>528</v>
      </c>
      <c r="C1390" s="44" t="s">
        <v>1439</v>
      </c>
      <c r="D1390" s="42" t="s">
        <v>1412</v>
      </c>
      <c r="E1390" s="45" t="s">
        <v>1411</v>
      </c>
      <c r="F1390" s="19" t="s">
        <v>2018</v>
      </c>
      <c r="G1390" s="19" t="s">
        <v>2004</v>
      </c>
    </row>
    <row r="1391" spans="1:7" ht="14.25" customHeight="1">
      <c r="A1391" s="45">
        <v>1384</v>
      </c>
      <c r="B1391" s="49" t="s">
        <v>529</v>
      </c>
      <c r="C1391" s="44" t="s">
        <v>1440</v>
      </c>
      <c r="D1391" s="42" t="s">
        <v>1412</v>
      </c>
      <c r="E1391" s="45" t="s">
        <v>1411</v>
      </c>
      <c r="F1391" s="19" t="s">
        <v>2018</v>
      </c>
      <c r="G1391" s="19" t="s">
        <v>2004</v>
      </c>
    </row>
    <row r="1392" spans="1:7" ht="14.25" customHeight="1">
      <c r="A1392" s="45">
        <v>1385</v>
      </c>
      <c r="B1392" s="49" t="s">
        <v>530</v>
      </c>
      <c r="C1392" s="44" t="s">
        <v>1441</v>
      </c>
      <c r="D1392" s="42" t="s">
        <v>1412</v>
      </c>
      <c r="E1392" s="45" t="s">
        <v>1411</v>
      </c>
      <c r="F1392" s="19" t="s">
        <v>2018</v>
      </c>
      <c r="G1392" s="19" t="s">
        <v>2004</v>
      </c>
    </row>
    <row r="1393" spans="1:7" ht="14.25" customHeight="1">
      <c r="A1393" s="45">
        <v>1386</v>
      </c>
      <c r="B1393" s="49" t="s">
        <v>525</v>
      </c>
      <c r="C1393" s="44" t="s">
        <v>1437</v>
      </c>
      <c r="D1393" s="42" t="s">
        <v>1412</v>
      </c>
      <c r="E1393" s="45" t="s">
        <v>1411</v>
      </c>
      <c r="F1393" s="19" t="s">
        <v>2018</v>
      </c>
      <c r="G1393" s="19" t="s">
        <v>2004</v>
      </c>
    </row>
    <row r="1394" spans="1:7" ht="14.25" customHeight="1">
      <c r="A1394" s="45">
        <v>1387</v>
      </c>
      <c r="B1394" s="49" t="s">
        <v>533</v>
      </c>
      <c r="C1394" s="44" t="s">
        <v>533</v>
      </c>
      <c r="D1394" s="59" t="s">
        <v>6862</v>
      </c>
      <c r="E1394" s="45" t="s">
        <v>1411</v>
      </c>
      <c r="F1394" s="19" t="s">
        <v>2018</v>
      </c>
      <c r="G1394" s="19" t="s">
        <v>2004</v>
      </c>
    </row>
    <row r="1395" spans="1:7" ht="14.25" customHeight="1">
      <c r="A1395" s="45">
        <v>1388</v>
      </c>
      <c r="B1395" s="330" t="s">
        <v>6719</v>
      </c>
      <c r="C1395" s="330" t="s">
        <v>6845</v>
      </c>
      <c r="D1395" s="671" t="s">
        <v>6862</v>
      </c>
      <c r="E1395" s="45" t="s">
        <v>1511</v>
      </c>
      <c r="F1395" s="45" t="s">
        <v>1512</v>
      </c>
      <c r="G1395" s="60" t="s">
        <v>729</v>
      </c>
    </row>
    <row r="1396" spans="1:7" ht="14.25" customHeight="1">
      <c r="A1396" s="45">
        <v>1389</v>
      </c>
      <c r="B1396" s="330" t="s">
        <v>6720</v>
      </c>
      <c r="C1396" s="330" t="s">
        <v>6846</v>
      </c>
      <c r="D1396" s="671" t="s">
        <v>6862</v>
      </c>
      <c r="E1396" s="45" t="s">
        <v>1511</v>
      </c>
      <c r="F1396" s="45" t="s">
        <v>1512</v>
      </c>
      <c r="G1396" s="45" t="s">
        <v>736</v>
      </c>
    </row>
    <row r="1397" spans="1:7" ht="14.25" customHeight="1">
      <c r="A1397" s="45">
        <v>1390</v>
      </c>
      <c r="B1397" s="330" t="s">
        <v>6721</v>
      </c>
      <c r="C1397" s="330" t="s">
        <v>6847</v>
      </c>
      <c r="D1397" s="671" t="s">
        <v>6862</v>
      </c>
      <c r="E1397" s="45" t="s">
        <v>1511</v>
      </c>
      <c r="F1397" s="45" t="s">
        <v>1512</v>
      </c>
      <c r="G1397" s="60" t="s">
        <v>736</v>
      </c>
    </row>
    <row r="1398" spans="1:7" ht="14.25" customHeight="1">
      <c r="A1398" s="45">
        <v>1391</v>
      </c>
      <c r="B1398" s="330" t="s">
        <v>6722</v>
      </c>
      <c r="C1398" s="330" t="s">
        <v>6848</v>
      </c>
      <c r="D1398" s="671" t="s">
        <v>6862</v>
      </c>
      <c r="E1398" s="45" t="s">
        <v>1511</v>
      </c>
      <c r="F1398" s="45" t="s">
        <v>1512</v>
      </c>
      <c r="G1398" s="45" t="s">
        <v>736</v>
      </c>
    </row>
    <row r="1399" spans="1:7" ht="14.25" customHeight="1">
      <c r="A1399" s="45">
        <v>1392</v>
      </c>
      <c r="B1399" s="330" t="s">
        <v>6723</v>
      </c>
      <c r="C1399" s="330" t="s">
        <v>6849</v>
      </c>
      <c r="D1399" s="671" t="s">
        <v>6862</v>
      </c>
      <c r="E1399" s="45" t="s">
        <v>1511</v>
      </c>
      <c r="F1399" s="45" t="s">
        <v>1512</v>
      </c>
      <c r="G1399" s="60" t="s">
        <v>736</v>
      </c>
    </row>
    <row r="1400" spans="1:7" ht="14.25" customHeight="1">
      <c r="A1400" s="45">
        <v>1393</v>
      </c>
      <c r="B1400" s="330" t="s">
        <v>6724</v>
      </c>
      <c r="C1400" s="330" t="s">
        <v>6850</v>
      </c>
      <c r="D1400" s="671" t="s">
        <v>6862</v>
      </c>
      <c r="E1400" s="45" t="s">
        <v>1511</v>
      </c>
      <c r="F1400" s="45" t="s">
        <v>1512</v>
      </c>
      <c r="G1400" s="45" t="s">
        <v>736</v>
      </c>
    </row>
    <row r="1401" spans="1:7" ht="14.25" customHeight="1">
      <c r="A1401" s="45">
        <v>1394</v>
      </c>
      <c r="B1401" s="330" t="s">
        <v>6725</v>
      </c>
      <c r="C1401" s="330" t="s">
        <v>6851</v>
      </c>
      <c r="D1401" s="671" t="s">
        <v>6862</v>
      </c>
      <c r="E1401" s="45" t="s">
        <v>1511</v>
      </c>
      <c r="F1401" s="45" t="s">
        <v>1512</v>
      </c>
      <c r="G1401" s="60" t="s">
        <v>736</v>
      </c>
    </row>
    <row r="1402" spans="1:7" ht="14.25" customHeight="1">
      <c r="A1402" s="45">
        <v>1395</v>
      </c>
      <c r="B1402" s="330" t="s">
        <v>6726</v>
      </c>
      <c r="C1402" s="330" t="s">
        <v>6852</v>
      </c>
      <c r="D1402" s="671" t="s">
        <v>6862</v>
      </c>
      <c r="E1402" s="45" t="s">
        <v>1511</v>
      </c>
      <c r="F1402" s="45" t="s">
        <v>1512</v>
      </c>
      <c r="G1402" s="45" t="s">
        <v>736</v>
      </c>
    </row>
    <row r="1403" spans="1:7" ht="14.25" customHeight="1">
      <c r="A1403" s="45">
        <v>1396</v>
      </c>
      <c r="B1403" s="330" t="s">
        <v>6727</v>
      </c>
      <c r="C1403" s="330" t="s">
        <v>6853</v>
      </c>
      <c r="D1403" s="671" t="s">
        <v>6862</v>
      </c>
      <c r="E1403" s="45" t="s">
        <v>1511</v>
      </c>
      <c r="F1403" s="45" t="s">
        <v>1512</v>
      </c>
      <c r="G1403" s="60" t="s">
        <v>736</v>
      </c>
    </row>
    <row r="1404" spans="1:7" ht="14.25" customHeight="1">
      <c r="A1404" s="45">
        <v>1397</v>
      </c>
      <c r="B1404" s="330" t="s">
        <v>6728</v>
      </c>
      <c r="C1404" s="330" t="s">
        <v>6854</v>
      </c>
      <c r="D1404" s="671" t="s">
        <v>6862</v>
      </c>
      <c r="E1404" s="45" t="s">
        <v>1511</v>
      </c>
      <c r="F1404" s="45" t="s">
        <v>1512</v>
      </c>
      <c r="G1404" s="45" t="s">
        <v>736</v>
      </c>
    </row>
    <row r="1405" spans="1:7" ht="14.25" customHeight="1">
      <c r="A1405" s="45">
        <v>1398</v>
      </c>
      <c r="B1405" s="330" t="s">
        <v>6729</v>
      </c>
      <c r="C1405" s="330" t="s">
        <v>6855</v>
      </c>
      <c r="D1405" s="671" t="s">
        <v>6862</v>
      </c>
      <c r="E1405" s="45" t="s">
        <v>1511</v>
      </c>
      <c r="F1405" s="45" t="s">
        <v>1512</v>
      </c>
      <c r="G1405" s="60" t="s">
        <v>736</v>
      </c>
    </row>
    <row r="1406" spans="1:7" ht="14.25" customHeight="1">
      <c r="A1406" s="45">
        <v>1399</v>
      </c>
      <c r="B1406" s="330" t="s">
        <v>6730</v>
      </c>
      <c r="C1406" s="330" t="s">
        <v>6856</v>
      </c>
      <c r="D1406" s="671" t="s">
        <v>6862</v>
      </c>
      <c r="E1406" s="45" t="s">
        <v>1511</v>
      </c>
      <c r="F1406" s="45" t="s">
        <v>1512</v>
      </c>
      <c r="G1406" s="45" t="s">
        <v>736</v>
      </c>
    </row>
    <row r="1407" spans="1:7" ht="14.25" customHeight="1">
      <c r="A1407" s="45">
        <v>1400</v>
      </c>
      <c r="B1407" s="330" t="s">
        <v>6731</v>
      </c>
      <c r="C1407" s="330" t="s">
        <v>6857</v>
      </c>
      <c r="D1407" s="671" t="s">
        <v>6862</v>
      </c>
      <c r="E1407" s="45" t="s">
        <v>1511</v>
      </c>
      <c r="F1407" s="45" t="s">
        <v>1512</v>
      </c>
      <c r="G1407" s="60" t="s">
        <v>736</v>
      </c>
    </row>
    <row r="1408" spans="1:7" ht="14.25" customHeight="1">
      <c r="A1408" s="45">
        <v>1401</v>
      </c>
      <c r="B1408" s="330" t="s">
        <v>6732</v>
      </c>
      <c r="C1408" s="330" t="s">
        <v>6858</v>
      </c>
      <c r="D1408" s="671" t="s">
        <v>6862</v>
      </c>
      <c r="E1408" s="45" t="s">
        <v>1511</v>
      </c>
      <c r="F1408" s="45" t="s">
        <v>1512</v>
      </c>
      <c r="G1408" s="45" t="s">
        <v>736</v>
      </c>
    </row>
    <row r="1409" spans="1:7" ht="14.25" customHeight="1">
      <c r="A1409" s="45">
        <v>1402</v>
      </c>
      <c r="B1409" s="330" t="s">
        <v>6733</v>
      </c>
      <c r="C1409" s="330" t="s">
        <v>6859</v>
      </c>
      <c r="D1409" s="671" t="s">
        <v>6862</v>
      </c>
      <c r="E1409" s="45" t="s">
        <v>1511</v>
      </c>
      <c r="F1409" s="45" t="s">
        <v>1512</v>
      </c>
      <c r="G1409" s="60" t="s">
        <v>736</v>
      </c>
    </row>
    <row r="1410" spans="1:7" ht="14.25" customHeight="1">
      <c r="A1410" s="45">
        <v>1403</v>
      </c>
      <c r="B1410" s="330" t="s">
        <v>6734</v>
      </c>
      <c r="C1410" s="330" t="s">
        <v>6860</v>
      </c>
      <c r="D1410" s="671" t="s">
        <v>6862</v>
      </c>
      <c r="E1410" s="45" t="s">
        <v>1511</v>
      </c>
      <c r="F1410" s="45" t="s">
        <v>1512</v>
      </c>
      <c r="G1410" s="45" t="s">
        <v>736</v>
      </c>
    </row>
    <row r="1411" spans="1:7" ht="14.25" customHeight="1">
      <c r="A1411" s="45">
        <v>1404</v>
      </c>
      <c r="B1411" s="330" t="s">
        <v>6826</v>
      </c>
      <c r="C1411" s="330" t="s">
        <v>6861</v>
      </c>
      <c r="D1411" s="671" t="s">
        <v>6862</v>
      </c>
      <c r="E1411" s="45" t="s">
        <v>1511</v>
      </c>
      <c r="F1411" s="45" t="s">
        <v>1512</v>
      </c>
      <c r="G1411" s="45" t="s">
        <v>736</v>
      </c>
    </row>
    <row r="1412" spans="1:7" ht="14.25" customHeight="1">
      <c r="A1412" s="45">
        <v>1405</v>
      </c>
      <c r="B1412" s="330" t="s">
        <v>6788</v>
      </c>
      <c r="C1412" s="330" t="s">
        <v>6863</v>
      </c>
      <c r="D1412" s="330" t="s">
        <v>6781</v>
      </c>
      <c r="E1412" s="28" t="s">
        <v>1358</v>
      </c>
      <c r="F1412" s="28" t="s">
        <v>1359</v>
      </c>
      <c r="G1412" s="28" t="s">
        <v>729</v>
      </c>
    </row>
    <row r="1413" spans="1:7" ht="14.25" customHeight="1">
      <c r="A1413" s="45">
        <v>1406</v>
      </c>
      <c r="B1413" s="330" t="s">
        <v>6789</v>
      </c>
      <c r="C1413" s="330" t="s">
        <v>6864</v>
      </c>
      <c r="D1413" s="330" t="s">
        <v>6779</v>
      </c>
      <c r="E1413" s="28" t="s">
        <v>1358</v>
      </c>
      <c r="F1413" s="28" t="s">
        <v>1359</v>
      </c>
      <c r="G1413" s="28" t="s">
        <v>1378</v>
      </c>
    </row>
    <row r="1414" spans="1:7" ht="14.25" customHeight="1">
      <c r="A1414" s="45">
        <v>1407</v>
      </c>
      <c r="B1414" s="330" t="s">
        <v>6790</v>
      </c>
      <c r="C1414" s="330" t="s">
        <v>6865</v>
      </c>
      <c r="D1414" s="330" t="s">
        <v>6753</v>
      </c>
      <c r="E1414" s="28" t="s">
        <v>1358</v>
      </c>
      <c r="F1414" s="28" t="s">
        <v>1359</v>
      </c>
      <c r="G1414" s="28" t="s">
        <v>736</v>
      </c>
    </row>
    <row r="1415" spans="1:7" ht="14.25" customHeight="1">
      <c r="A1415" s="45">
        <v>1408</v>
      </c>
      <c r="B1415" s="330" t="s">
        <v>6791</v>
      </c>
      <c r="C1415" s="671" t="s">
        <v>6866</v>
      </c>
      <c r="D1415" s="330" t="s">
        <v>6754</v>
      </c>
      <c r="E1415" s="28" t="s">
        <v>1358</v>
      </c>
      <c r="F1415" s="28" t="s">
        <v>1359</v>
      </c>
      <c r="G1415" s="28" t="s">
        <v>1378</v>
      </c>
    </row>
    <row r="1416" spans="1:7" ht="14.25" customHeight="1">
      <c r="A1416" s="45">
        <v>1409</v>
      </c>
      <c r="B1416" s="330" t="s">
        <v>6792</v>
      </c>
      <c r="C1416" s="671" t="s">
        <v>6867</v>
      </c>
      <c r="D1416" s="330" t="s">
        <v>6755</v>
      </c>
      <c r="E1416" s="28" t="s">
        <v>1358</v>
      </c>
      <c r="F1416" s="28" t="s">
        <v>1359</v>
      </c>
      <c r="G1416" s="28" t="s">
        <v>736</v>
      </c>
    </row>
    <row r="1417" spans="1:7" ht="14.25" customHeight="1">
      <c r="A1417" s="45">
        <v>1410</v>
      </c>
      <c r="B1417" s="330" t="s">
        <v>6756</v>
      </c>
      <c r="C1417" s="682" t="s">
        <v>6868</v>
      </c>
      <c r="D1417" s="330" t="s">
        <v>6783</v>
      </c>
      <c r="E1417" s="28" t="s">
        <v>1358</v>
      </c>
      <c r="F1417" s="28" t="s">
        <v>1359</v>
      </c>
      <c r="G1417" s="28" t="s">
        <v>1378</v>
      </c>
    </row>
    <row r="1418" spans="1:7" ht="14.25" customHeight="1">
      <c r="A1418" s="45">
        <v>1411</v>
      </c>
      <c r="B1418" s="330" t="s">
        <v>6793</v>
      </c>
      <c r="C1418" s="682" t="s">
        <v>6869</v>
      </c>
      <c r="D1418" s="330" t="s">
        <v>6757</v>
      </c>
      <c r="E1418" s="28" t="s">
        <v>1358</v>
      </c>
      <c r="F1418" s="28" t="s">
        <v>1359</v>
      </c>
      <c r="G1418" s="28" t="s">
        <v>736</v>
      </c>
    </row>
    <row r="1419" spans="1:7" ht="14.25" customHeight="1">
      <c r="A1419" s="45">
        <v>1412</v>
      </c>
      <c r="B1419" s="330" t="s">
        <v>6794</v>
      </c>
      <c r="C1419" s="682" t="s">
        <v>6870</v>
      </c>
      <c r="D1419" s="330" t="s">
        <v>6758</v>
      </c>
      <c r="E1419" s="28" t="s">
        <v>1358</v>
      </c>
      <c r="F1419" s="28" t="s">
        <v>1359</v>
      </c>
      <c r="G1419" s="28" t="s">
        <v>1378</v>
      </c>
    </row>
    <row r="1420" spans="1:7" ht="14.25" customHeight="1">
      <c r="A1420" s="45">
        <v>1413</v>
      </c>
      <c r="B1420" s="330" t="s">
        <v>6801</v>
      </c>
      <c r="C1420" s="682" t="s">
        <v>6871</v>
      </c>
      <c r="D1420" s="330" t="s">
        <v>6759</v>
      </c>
      <c r="E1420" s="28" t="s">
        <v>1358</v>
      </c>
      <c r="F1420" s="28" t="s">
        <v>1359</v>
      </c>
      <c r="G1420" s="28" t="s">
        <v>736</v>
      </c>
    </row>
    <row r="1421" spans="1:7" ht="14.25" customHeight="1">
      <c r="A1421" s="45">
        <v>1414</v>
      </c>
      <c r="B1421" s="330" t="s">
        <v>6802</v>
      </c>
      <c r="C1421" s="682" t="s">
        <v>6872</v>
      </c>
      <c r="D1421" s="330" t="s">
        <v>6760</v>
      </c>
      <c r="E1421" s="28" t="s">
        <v>1358</v>
      </c>
      <c r="F1421" s="28" t="s">
        <v>1359</v>
      </c>
      <c r="G1421" s="28" t="s">
        <v>1378</v>
      </c>
    </row>
    <row r="1422" spans="1:7" ht="14.25" customHeight="1">
      <c r="A1422" s="45">
        <v>1415</v>
      </c>
      <c r="B1422" s="330" t="s">
        <v>6803</v>
      </c>
      <c r="C1422" s="682" t="s">
        <v>6873</v>
      </c>
      <c r="D1422" s="330" t="s">
        <v>6761</v>
      </c>
      <c r="E1422" s="28" t="s">
        <v>1358</v>
      </c>
      <c r="F1422" s="28" t="s">
        <v>1359</v>
      </c>
      <c r="G1422" s="28" t="s">
        <v>736</v>
      </c>
    </row>
    <row r="1423" spans="1:7" ht="14.25" customHeight="1">
      <c r="A1423" s="45">
        <v>1416</v>
      </c>
      <c r="B1423" s="330" t="s">
        <v>6804</v>
      </c>
      <c r="C1423" s="330" t="s">
        <v>6874</v>
      </c>
      <c r="D1423" s="330" t="s">
        <v>6762</v>
      </c>
      <c r="E1423" s="28" t="s">
        <v>1358</v>
      </c>
      <c r="F1423" s="28" t="s">
        <v>1359</v>
      </c>
      <c r="G1423" s="28" t="s">
        <v>1378</v>
      </c>
    </row>
    <row r="1424" spans="1:7" ht="14.25" customHeight="1">
      <c r="A1424" s="45">
        <v>1417</v>
      </c>
      <c r="B1424" s="330" t="s">
        <v>6805</v>
      </c>
      <c r="C1424" s="330" t="s">
        <v>6875</v>
      </c>
      <c r="D1424" s="330" t="s">
        <v>6763</v>
      </c>
      <c r="E1424" s="28" t="s">
        <v>1358</v>
      </c>
      <c r="F1424" s="28" t="s">
        <v>1359</v>
      </c>
      <c r="G1424" s="28" t="s">
        <v>736</v>
      </c>
    </row>
    <row r="1425" spans="1:7" ht="14.25" customHeight="1">
      <c r="A1425" s="45">
        <v>1418</v>
      </c>
      <c r="B1425" s="330" t="s">
        <v>6764</v>
      </c>
      <c r="C1425" s="330" t="s">
        <v>6876</v>
      </c>
      <c r="D1425" s="330" t="s">
        <v>6784</v>
      </c>
      <c r="E1425" s="28" t="s">
        <v>1358</v>
      </c>
      <c r="F1425" s="28" t="s">
        <v>1359</v>
      </c>
      <c r="G1425" s="28" t="s">
        <v>1378</v>
      </c>
    </row>
    <row r="1426" spans="1:7" ht="14.25" customHeight="1">
      <c r="A1426" s="45">
        <v>1419</v>
      </c>
      <c r="B1426" s="330" t="s">
        <v>6806</v>
      </c>
      <c r="C1426" s="330" t="s">
        <v>6877</v>
      </c>
      <c r="D1426" s="330" t="s">
        <v>6765</v>
      </c>
      <c r="E1426" s="28" t="s">
        <v>1358</v>
      </c>
      <c r="F1426" s="28" t="s">
        <v>1359</v>
      </c>
      <c r="G1426" s="28" t="s">
        <v>736</v>
      </c>
    </row>
    <row r="1427" spans="1:7" ht="14.25" customHeight="1">
      <c r="A1427" s="45">
        <v>1420</v>
      </c>
      <c r="B1427" s="330" t="s">
        <v>6807</v>
      </c>
      <c r="C1427" s="330" t="s">
        <v>6878</v>
      </c>
      <c r="D1427" s="330" t="s">
        <v>6766</v>
      </c>
      <c r="E1427" s="28" t="s">
        <v>1358</v>
      </c>
      <c r="F1427" s="28" t="s">
        <v>1359</v>
      </c>
      <c r="G1427" s="28" t="s">
        <v>1378</v>
      </c>
    </row>
    <row r="1428" spans="1:7" ht="14.25" customHeight="1">
      <c r="A1428" s="45">
        <v>1421</v>
      </c>
      <c r="B1428" s="330" t="s">
        <v>6808</v>
      </c>
      <c r="C1428" s="671" t="s">
        <v>6879</v>
      </c>
      <c r="D1428" s="330" t="s">
        <v>6767</v>
      </c>
      <c r="E1428" s="28" t="s">
        <v>1358</v>
      </c>
      <c r="F1428" s="28" t="s">
        <v>1359</v>
      </c>
      <c r="G1428" s="28" t="s">
        <v>736</v>
      </c>
    </row>
    <row r="1429" spans="1:7" ht="14.25" customHeight="1">
      <c r="A1429" s="45">
        <v>1422</v>
      </c>
      <c r="B1429" s="330" t="s">
        <v>6809</v>
      </c>
      <c r="C1429" s="682" t="s">
        <v>6880</v>
      </c>
      <c r="D1429" s="330" t="s">
        <v>6768</v>
      </c>
      <c r="E1429" s="28" t="s">
        <v>1358</v>
      </c>
      <c r="F1429" s="28" t="s">
        <v>1359</v>
      </c>
      <c r="G1429" s="28" t="s">
        <v>1378</v>
      </c>
    </row>
    <row r="1430" spans="1:7" ht="14.25" customHeight="1">
      <c r="A1430" s="45">
        <v>1423</v>
      </c>
      <c r="B1430" s="330" t="s">
        <v>6810</v>
      </c>
      <c r="C1430" s="330" t="s">
        <v>6881</v>
      </c>
      <c r="D1430" s="330" t="s">
        <v>6769</v>
      </c>
      <c r="E1430" s="28" t="s">
        <v>1358</v>
      </c>
      <c r="F1430" s="28" t="s">
        <v>1359</v>
      </c>
      <c r="G1430" s="28" t="s">
        <v>736</v>
      </c>
    </row>
    <row r="1431" spans="1:7" ht="14.25" customHeight="1">
      <c r="A1431" s="45">
        <v>1424</v>
      </c>
      <c r="B1431" s="330" t="s">
        <v>6770</v>
      </c>
      <c r="C1431" s="330" t="s">
        <v>6882</v>
      </c>
      <c r="D1431" s="330" t="s">
        <v>6785</v>
      </c>
      <c r="E1431" s="28" t="s">
        <v>1358</v>
      </c>
      <c r="F1431" s="28" t="s">
        <v>1359</v>
      </c>
      <c r="G1431" s="28" t="s">
        <v>1378</v>
      </c>
    </row>
    <row r="1432" spans="1:7" ht="14.25" customHeight="1">
      <c r="A1432" s="45">
        <v>1425</v>
      </c>
      <c r="B1432" s="330" t="s">
        <v>6795</v>
      </c>
      <c r="C1432" s="682" t="s">
        <v>6883</v>
      </c>
      <c r="D1432" s="330" t="s">
        <v>6780</v>
      </c>
      <c r="E1432" s="28" t="s">
        <v>1358</v>
      </c>
      <c r="F1432" s="28" t="s">
        <v>1359</v>
      </c>
      <c r="G1432" s="28" t="s">
        <v>736</v>
      </c>
    </row>
    <row r="1433" spans="1:7" ht="14.25" customHeight="1">
      <c r="A1433" s="45">
        <v>1426</v>
      </c>
      <c r="B1433" s="330" t="s">
        <v>6796</v>
      </c>
      <c r="C1433" s="330" t="s">
        <v>6884</v>
      </c>
      <c r="D1433" s="330" t="s">
        <v>6782</v>
      </c>
      <c r="E1433" s="28" t="s">
        <v>1358</v>
      </c>
      <c r="F1433" s="28" t="s">
        <v>1359</v>
      </c>
      <c r="G1433" s="28" t="s">
        <v>1378</v>
      </c>
    </row>
    <row r="1434" spans="1:7" ht="14.25" customHeight="1">
      <c r="A1434" s="45">
        <v>1427</v>
      </c>
      <c r="B1434" s="330" t="s">
        <v>6797</v>
      </c>
      <c r="C1434" s="330" t="s">
        <v>6885</v>
      </c>
      <c r="D1434" s="330" t="s">
        <v>6735</v>
      </c>
      <c r="E1434" s="28" t="s">
        <v>1358</v>
      </c>
      <c r="F1434" s="28" t="s">
        <v>1359</v>
      </c>
      <c r="G1434" s="28" t="s">
        <v>736</v>
      </c>
    </row>
    <row r="1435" spans="1:7" ht="14.25" customHeight="1">
      <c r="A1435" s="45">
        <v>1428</v>
      </c>
      <c r="B1435" s="330" t="s">
        <v>6736</v>
      </c>
      <c r="C1435" s="330" t="s">
        <v>6886</v>
      </c>
      <c r="D1435" s="330" t="s">
        <v>6786</v>
      </c>
      <c r="E1435" s="28" t="s">
        <v>1358</v>
      </c>
      <c r="F1435" s="28" t="s">
        <v>1359</v>
      </c>
      <c r="G1435" s="28" t="s">
        <v>1378</v>
      </c>
    </row>
    <row r="1436" spans="1:7" ht="14.25" customHeight="1">
      <c r="A1436" s="45">
        <v>1429</v>
      </c>
      <c r="B1436" s="330" t="s">
        <v>6737</v>
      </c>
      <c r="C1436" s="330" t="s">
        <v>6887</v>
      </c>
      <c r="D1436" s="330" t="s">
        <v>6787</v>
      </c>
      <c r="E1436" s="28" t="s">
        <v>1358</v>
      </c>
      <c r="F1436" s="28" t="s">
        <v>1359</v>
      </c>
      <c r="G1436" s="28" t="s">
        <v>736</v>
      </c>
    </row>
    <row r="1437" spans="1:7" ht="14.25" customHeight="1">
      <c r="A1437" s="45">
        <v>1430</v>
      </c>
      <c r="B1437" s="330" t="s">
        <v>6798</v>
      </c>
      <c r="C1437" s="330" t="s">
        <v>6888</v>
      </c>
      <c r="D1437" s="330" t="s">
        <v>6738</v>
      </c>
      <c r="E1437" s="28" t="s">
        <v>1358</v>
      </c>
      <c r="F1437" s="28" t="s">
        <v>1359</v>
      </c>
      <c r="G1437" s="28" t="s">
        <v>1378</v>
      </c>
    </row>
    <row r="1438" spans="1:7" ht="14.25" customHeight="1">
      <c r="A1438" s="45">
        <v>1431</v>
      </c>
      <c r="B1438" s="330" t="s">
        <v>6799</v>
      </c>
      <c r="C1438" s="330" t="s">
        <v>6889</v>
      </c>
      <c r="D1438" s="330" t="s">
        <v>6739</v>
      </c>
      <c r="E1438" s="28" t="s">
        <v>1358</v>
      </c>
      <c r="F1438" s="28" t="s">
        <v>1359</v>
      </c>
      <c r="G1438" s="28" t="s">
        <v>736</v>
      </c>
    </row>
    <row r="1439" spans="1:7" ht="14.25" customHeight="1">
      <c r="A1439" s="45">
        <v>1432</v>
      </c>
      <c r="B1439" s="330" t="s">
        <v>6800</v>
      </c>
      <c r="C1439" s="330" t="s">
        <v>6890</v>
      </c>
      <c r="D1439" s="330" t="s">
        <v>6740</v>
      </c>
      <c r="E1439" s="28" t="s">
        <v>1358</v>
      </c>
      <c r="F1439" s="28" t="s">
        <v>1359</v>
      </c>
      <c r="G1439" s="28" t="s">
        <v>1378</v>
      </c>
    </row>
    <row r="1440" spans="1:7" ht="14.25" customHeight="1">
      <c r="A1440" s="45">
        <v>1433</v>
      </c>
      <c r="B1440" s="330" t="s">
        <v>6811</v>
      </c>
      <c r="C1440" s="682" t="s">
        <v>6891</v>
      </c>
      <c r="D1440" s="330" t="s">
        <v>6741</v>
      </c>
      <c r="E1440" s="28" t="s">
        <v>1358</v>
      </c>
      <c r="F1440" s="28" t="s">
        <v>1359</v>
      </c>
      <c r="G1440" s="28" t="s">
        <v>736</v>
      </c>
    </row>
    <row r="1441" spans="1:7" ht="14.25" customHeight="1">
      <c r="A1441" s="45">
        <v>1434</v>
      </c>
      <c r="B1441" s="330" t="s">
        <v>6812</v>
      </c>
      <c r="C1441" s="682" t="s">
        <v>6892</v>
      </c>
      <c r="D1441" s="330" t="s">
        <v>6742</v>
      </c>
      <c r="E1441" s="28" t="s">
        <v>1358</v>
      </c>
      <c r="F1441" s="28" t="s">
        <v>1359</v>
      </c>
      <c r="G1441" s="28" t="s">
        <v>1378</v>
      </c>
    </row>
    <row r="1442" spans="1:7" ht="14.25" customHeight="1">
      <c r="A1442" s="45">
        <v>1435</v>
      </c>
      <c r="B1442" s="330" t="s">
        <v>6813</v>
      </c>
      <c r="C1442" s="330" t="s">
        <v>6893</v>
      </c>
      <c r="D1442" s="330" t="s">
        <v>6743</v>
      </c>
      <c r="E1442" s="28" t="s">
        <v>1358</v>
      </c>
      <c r="F1442" s="28" t="s">
        <v>1359</v>
      </c>
      <c r="G1442" s="28" t="s">
        <v>736</v>
      </c>
    </row>
    <row r="1443" spans="1:7" ht="14.25" customHeight="1">
      <c r="A1443" s="45">
        <v>1436</v>
      </c>
      <c r="B1443" s="330" t="s">
        <v>6814</v>
      </c>
      <c r="C1443" s="330" t="s">
        <v>6894</v>
      </c>
      <c r="D1443" s="330" t="s">
        <v>6744</v>
      </c>
      <c r="E1443" s="28" t="s">
        <v>1358</v>
      </c>
      <c r="F1443" s="28" t="s">
        <v>1359</v>
      </c>
      <c r="G1443" s="28" t="s">
        <v>1378</v>
      </c>
    </row>
    <row r="1444" spans="1:7" ht="14.25" customHeight="1">
      <c r="A1444" s="45">
        <v>1437</v>
      </c>
      <c r="B1444" s="330" t="s">
        <v>6815</v>
      </c>
      <c r="C1444" s="330" t="s">
        <v>6895</v>
      </c>
      <c r="D1444" s="330" t="s">
        <v>6745</v>
      </c>
      <c r="E1444" s="28" t="s">
        <v>1358</v>
      </c>
      <c r="F1444" s="28" t="s">
        <v>1359</v>
      </c>
      <c r="G1444" s="28" t="s">
        <v>736</v>
      </c>
    </row>
    <row r="1445" spans="1:7" ht="14.25" customHeight="1">
      <c r="A1445" s="45">
        <v>1438</v>
      </c>
      <c r="B1445" s="330" t="s">
        <v>6816</v>
      </c>
      <c r="C1445" s="330" t="s">
        <v>6896</v>
      </c>
      <c r="D1445" s="330" t="s">
        <v>6746</v>
      </c>
      <c r="E1445" s="28" t="s">
        <v>1358</v>
      </c>
      <c r="F1445" s="28" t="s">
        <v>1359</v>
      </c>
      <c r="G1445" s="28" t="s">
        <v>1378</v>
      </c>
    </row>
    <row r="1446" spans="1:7" ht="14.25" customHeight="1">
      <c r="A1446" s="45">
        <v>1439</v>
      </c>
      <c r="B1446" s="330" t="s">
        <v>6817</v>
      </c>
      <c r="C1446" s="330" t="s">
        <v>6897</v>
      </c>
      <c r="D1446" s="330" t="s">
        <v>6747</v>
      </c>
      <c r="E1446" s="28" t="s">
        <v>1358</v>
      </c>
      <c r="F1446" s="28" t="s">
        <v>1359</v>
      </c>
      <c r="G1446" s="28" t="s">
        <v>736</v>
      </c>
    </row>
    <row r="1447" spans="1:7" ht="14.25" customHeight="1">
      <c r="A1447" s="45">
        <v>1440</v>
      </c>
      <c r="B1447" s="330" t="s">
        <v>6818</v>
      </c>
      <c r="C1447" s="682" t="s">
        <v>6898</v>
      </c>
      <c r="D1447" s="330" t="s">
        <v>6748</v>
      </c>
      <c r="E1447" s="28" t="s">
        <v>1358</v>
      </c>
      <c r="F1447" s="28" t="s">
        <v>1359</v>
      </c>
      <c r="G1447" s="28" t="s">
        <v>1378</v>
      </c>
    </row>
    <row r="1448" spans="1:7" ht="14.25" customHeight="1">
      <c r="A1448" s="45">
        <v>1441</v>
      </c>
      <c r="B1448" s="330" t="s">
        <v>6819</v>
      </c>
      <c r="C1448" s="671" t="s">
        <v>6899</v>
      </c>
      <c r="D1448" s="330" t="s">
        <v>6749</v>
      </c>
      <c r="E1448" s="28" t="s">
        <v>1358</v>
      </c>
      <c r="F1448" s="28" t="s">
        <v>1359</v>
      </c>
      <c r="G1448" s="28" t="s">
        <v>736</v>
      </c>
    </row>
    <row r="1449" spans="1:7" ht="14.25" customHeight="1">
      <c r="A1449" s="45">
        <v>1442</v>
      </c>
      <c r="B1449" s="330" t="s">
        <v>6820</v>
      </c>
      <c r="C1449" s="682" t="s">
        <v>6900</v>
      </c>
      <c r="D1449" s="330" t="s">
        <v>6750</v>
      </c>
      <c r="E1449" s="28" t="s">
        <v>1358</v>
      </c>
      <c r="F1449" s="28" t="s">
        <v>1359</v>
      </c>
      <c r="G1449" s="28" t="s">
        <v>1378</v>
      </c>
    </row>
    <row r="1450" spans="1:7" ht="14.25" customHeight="1">
      <c r="A1450" s="45">
        <v>1443</v>
      </c>
      <c r="B1450" s="330" t="s">
        <v>6821</v>
      </c>
      <c r="C1450" s="682" t="s">
        <v>6901</v>
      </c>
      <c r="D1450" s="330" t="s">
        <v>6751</v>
      </c>
      <c r="E1450" s="28" t="s">
        <v>1358</v>
      </c>
      <c r="F1450" s="28" t="s">
        <v>1359</v>
      </c>
      <c r="G1450" s="28" t="s">
        <v>736</v>
      </c>
    </row>
    <row r="1451" spans="1:7" ht="14.25" customHeight="1">
      <c r="A1451" s="45">
        <v>1444</v>
      </c>
      <c r="B1451" s="330" t="s">
        <v>6822</v>
      </c>
      <c r="C1451" s="682" t="s">
        <v>6902</v>
      </c>
      <c r="D1451" s="330" t="s">
        <v>6752</v>
      </c>
      <c r="E1451" s="28" t="s">
        <v>1358</v>
      </c>
      <c r="F1451" s="28" t="s">
        <v>1359</v>
      </c>
      <c r="G1451" s="28" t="s">
        <v>1378</v>
      </c>
    </row>
    <row r="1452" spans="1:7" ht="14.25" customHeight="1">
      <c r="A1452" s="45">
        <v>1445</v>
      </c>
      <c r="B1452" s="682" t="s">
        <v>6772</v>
      </c>
      <c r="C1452" s="682" t="s">
        <v>6903</v>
      </c>
      <c r="D1452" s="671" t="s">
        <v>1509</v>
      </c>
      <c r="E1452" s="19" t="s">
        <v>2492</v>
      </c>
      <c r="F1452" s="19" t="s">
        <v>2493</v>
      </c>
      <c r="G1452" s="174" t="s">
        <v>2519</v>
      </c>
    </row>
    <row r="1453" spans="1:7" ht="14.25" customHeight="1">
      <c r="A1453" s="45">
        <v>1446</v>
      </c>
      <c r="B1453" s="683" t="s">
        <v>6832</v>
      </c>
      <c r="C1453" s="683" t="s">
        <v>5155</v>
      </c>
      <c r="D1453" s="684" t="s">
        <v>6833</v>
      </c>
      <c r="E1453" s="45" t="s">
        <v>1511</v>
      </c>
      <c r="F1453" s="45" t="s">
        <v>1512</v>
      </c>
      <c r="G1453" s="60" t="s">
        <v>2287</v>
      </c>
    </row>
    <row r="1454" spans="1:7" ht="14.25" customHeight="1">
      <c r="B1454" s="79"/>
      <c r="C1454" s="79"/>
      <c r="D1454" s="585"/>
    </row>
    <row r="1455" spans="1:7" ht="14.25" customHeight="1">
      <c r="B1455" s="79"/>
      <c r="C1455" s="79"/>
      <c r="D1455" s="585"/>
    </row>
    <row r="1456" spans="1:7" ht="14.25" customHeight="1">
      <c r="B1456" s="79"/>
      <c r="C1456" s="79"/>
      <c r="D1456" s="585"/>
    </row>
    <row r="1457" spans="2:4" ht="14.25" customHeight="1">
      <c r="B1457" s="79"/>
      <c r="C1457" s="79"/>
      <c r="D1457" s="585"/>
    </row>
    <row r="1458" spans="2:4" ht="14.25" customHeight="1">
      <c r="B1458" s="585"/>
      <c r="C1458" s="585"/>
      <c r="D1458" s="585"/>
    </row>
    <row r="1459" spans="2:4" ht="14.25" customHeight="1">
      <c r="B1459" s="584"/>
      <c r="C1459" s="584"/>
      <c r="D1459" s="585"/>
    </row>
    <row r="1460" spans="2:4" ht="14.25" customHeight="1">
      <c r="B1460" s="79"/>
      <c r="C1460" s="79"/>
      <c r="D1460" s="585"/>
    </row>
    <row r="1461" spans="2:4" ht="14.25" customHeight="1">
      <c r="B1461" s="79"/>
      <c r="C1461" s="79"/>
      <c r="D1461" s="585"/>
    </row>
    <row r="1462" spans="2:4" ht="14.25" customHeight="1">
      <c r="B1462" s="79"/>
      <c r="C1462" s="79"/>
      <c r="D1462" s="585"/>
    </row>
    <row r="1463" spans="2:4" ht="14.25" customHeight="1">
      <c r="B1463" s="79"/>
      <c r="C1463" s="79"/>
      <c r="D1463" s="585"/>
    </row>
    <row r="1464" spans="2:4" ht="14.25" customHeight="1">
      <c r="B1464" s="79"/>
      <c r="C1464" s="79"/>
      <c r="D1464" s="585"/>
    </row>
    <row r="1465" spans="2:4" ht="14.25" customHeight="1">
      <c r="B1465" s="79"/>
      <c r="C1465" s="79"/>
      <c r="D1465" s="585"/>
    </row>
    <row r="1466" spans="2:4" ht="14.25" customHeight="1">
      <c r="B1466" s="79"/>
      <c r="C1466" s="79"/>
      <c r="D1466" s="585"/>
    </row>
    <row r="1467" spans="2:4" ht="14.25" customHeight="1">
      <c r="B1467" s="79"/>
      <c r="C1467" s="79"/>
      <c r="D1467" s="585"/>
    </row>
    <row r="1468" spans="2:4" ht="14.25" customHeight="1">
      <c r="B1468" s="79"/>
      <c r="C1468" s="79"/>
      <c r="D1468" s="585"/>
    </row>
    <row r="1469" spans="2:4" ht="14.25" customHeight="1">
      <c r="B1469" s="79"/>
      <c r="C1469" s="79"/>
      <c r="D1469" s="585"/>
    </row>
    <row r="1470" spans="2:4" ht="14.25" customHeight="1">
      <c r="B1470" s="79"/>
      <c r="C1470" s="79"/>
      <c r="D1470" s="585"/>
    </row>
    <row r="1471" spans="2:4" ht="14.25" customHeight="1">
      <c r="B1471" s="585"/>
      <c r="C1471" s="584"/>
      <c r="D1471" s="585"/>
    </row>
    <row r="1472" spans="2:4" ht="14.25" customHeight="1">
      <c r="B1472" s="585"/>
      <c r="C1472" s="584"/>
      <c r="D1472" s="585"/>
    </row>
    <row r="1473" spans="2:4" ht="14.25" customHeight="1">
      <c r="B1473" s="585"/>
      <c r="C1473" s="584"/>
      <c r="D1473" s="585"/>
    </row>
    <row r="1474" spans="2:4" ht="14.25" customHeight="1">
      <c r="B1474" s="585"/>
      <c r="C1474" s="585"/>
      <c r="D1474" s="585"/>
    </row>
    <row r="1475" spans="2:4" ht="14.25" customHeight="1">
      <c r="B1475" s="584"/>
      <c r="C1475" s="584"/>
      <c r="D1475" s="585"/>
    </row>
    <row r="1476" spans="2:4" ht="14.25" customHeight="1">
      <c r="B1476" s="584"/>
      <c r="C1476" s="584"/>
      <c r="D1476" s="585"/>
    </row>
    <row r="1477" spans="2:4" ht="14.25" customHeight="1">
      <c r="B1477" s="584"/>
      <c r="C1477" s="584"/>
      <c r="D1477" s="585"/>
    </row>
    <row r="1478" spans="2:4" ht="14.25" customHeight="1">
      <c r="B1478" s="584"/>
      <c r="C1478" s="584"/>
      <c r="D1478" s="585"/>
    </row>
    <row r="1479" spans="2:4" ht="14.25" customHeight="1">
      <c r="B1479" s="584"/>
      <c r="C1479" s="584"/>
      <c r="D1479" s="585"/>
    </row>
    <row r="1480" spans="2:4" ht="14.25" customHeight="1">
      <c r="B1480" s="79"/>
      <c r="C1480" s="79"/>
      <c r="D1480" s="585"/>
    </row>
    <row r="1481" spans="2:4" ht="14.25" customHeight="1">
      <c r="B1481" s="79"/>
      <c r="C1481" s="79"/>
      <c r="D1481" s="585"/>
    </row>
    <row r="1482" spans="2:4" ht="14.25" customHeight="1">
      <c r="B1482" s="79"/>
      <c r="C1482" s="79"/>
      <c r="D1482" s="585"/>
    </row>
    <row r="1483" spans="2:4" ht="14.25" customHeight="1">
      <c r="B1483" s="79"/>
      <c r="C1483" s="79"/>
      <c r="D1483" s="585"/>
    </row>
    <row r="1484" spans="2:4" ht="14.25" customHeight="1">
      <c r="B1484" s="79"/>
      <c r="C1484" s="79"/>
      <c r="D1484" s="585"/>
    </row>
    <row r="1485" spans="2:4" ht="14.25" customHeight="1">
      <c r="B1485" s="79"/>
      <c r="C1485" s="79"/>
      <c r="D1485" s="585"/>
    </row>
    <row r="1486" spans="2:4" ht="14.25" customHeight="1">
      <c r="B1486" s="585"/>
      <c r="C1486" s="584"/>
      <c r="D1486" s="585"/>
    </row>
    <row r="1487" spans="2:4" ht="14.25" customHeight="1">
      <c r="B1487" s="585"/>
      <c r="C1487" s="585"/>
      <c r="D1487" s="585"/>
    </row>
    <row r="1488" spans="2:4" ht="14.25" customHeight="1">
      <c r="B1488" s="584"/>
      <c r="C1488" s="584"/>
      <c r="D1488" s="585"/>
    </row>
    <row r="1489" spans="2:4" ht="14.25" customHeight="1">
      <c r="B1489" s="584"/>
      <c r="C1489" s="584"/>
      <c r="D1489" s="585"/>
    </row>
    <row r="1490" spans="2:4" ht="14.25" customHeight="1">
      <c r="B1490" s="584"/>
      <c r="C1490" s="584"/>
      <c r="D1490" s="585"/>
    </row>
    <row r="1491" spans="2:4" ht="14.25" customHeight="1">
      <c r="B1491" s="79"/>
      <c r="C1491" s="79"/>
      <c r="D1491" s="585"/>
    </row>
    <row r="1492" spans="2:4" ht="14.25" customHeight="1">
      <c r="B1492" s="79"/>
      <c r="C1492" s="79"/>
      <c r="D1492" s="585"/>
    </row>
    <row r="1493" spans="2:4" ht="14.25" customHeight="1">
      <c r="B1493" s="79"/>
      <c r="C1493" s="79"/>
      <c r="D1493" s="585"/>
    </row>
    <row r="1494" spans="2:4" ht="14.25" customHeight="1">
      <c r="B1494" s="79"/>
      <c r="C1494" s="79"/>
      <c r="D1494" s="585"/>
    </row>
    <row r="1495" spans="2:4" ht="14.25" customHeight="1">
      <c r="B1495" s="585"/>
      <c r="C1495" s="584"/>
      <c r="D1495" s="585"/>
    </row>
    <row r="1496" spans="2:4" ht="14.25" customHeight="1">
      <c r="B1496" s="584"/>
      <c r="C1496" s="584"/>
      <c r="D1496" s="585"/>
    </row>
    <row r="1497" spans="2:4" ht="14.25" customHeight="1">
      <c r="B1497" s="584"/>
      <c r="C1497" s="584"/>
      <c r="D1497" s="585"/>
    </row>
    <row r="1498" spans="2:4" ht="14.25" customHeight="1">
      <c r="B1498" s="584"/>
      <c r="C1498" s="584"/>
      <c r="D1498" s="585"/>
    </row>
    <row r="1499" spans="2:4" ht="14.25" customHeight="1">
      <c r="B1499" s="584"/>
      <c r="C1499" s="584"/>
      <c r="D1499" s="585"/>
    </row>
    <row r="1500" spans="2:4" ht="14.25" customHeight="1">
      <c r="B1500" s="79"/>
      <c r="C1500" s="79"/>
      <c r="D1500" s="585"/>
    </row>
    <row r="1501" spans="2:4" ht="14.25" customHeight="1">
      <c r="B1501" s="79"/>
      <c r="C1501" s="79"/>
      <c r="D1501" s="585"/>
    </row>
    <row r="1502" spans="2:4" ht="14.25" customHeight="1">
      <c r="B1502" s="79"/>
      <c r="C1502" s="79"/>
      <c r="D1502" s="585"/>
    </row>
    <row r="1503" spans="2:4" ht="14.25" customHeight="1">
      <c r="B1503" s="79"/>
      <c r="C1503" s="79"/>
      <c r="D1503" s="585"/>
    </row>
    <row r="1504" spans="2:4" ht="14.25" customHeight="1">
      <c r="B1504" s="79"/>
      <c r="C1504" s="79"/>
      <c r="D1504" s="585"/>
    </row>
    <row r="1505" spans="2:4" ht="14.25" customHeight="1">
      <c r="B1505" s="79"/>
      <c r="C1505" s="79"/>
      <c r="D1505" s="585"/>
    </row>
    <row r="1506" spans="2:4" ht="14.25" customHeight="1">
      <c r="B1506" s="585"/>
      <c r="C1506" s="584"/>
      <c r="D1506" s="585"/>
    </row>
    <row r="1507" spans="2:4" ht="14.25" customHeight="1">
      <c r="B1507" s="585"/>
      <c r="C1507" s="584"/>
      <c r="D1507" s="585"/>
    </row>
    <row r="1508" spans="2:4" ht="14.25" customHeight="1">
      <c r="B1508" s="585"/>
      <c r="C1508" s="585"/>
      <c r="D1508" s="585"/>
    </row>
    <row r="1509" spans="2:4" ht="14.25" customHeight="1">
      <c r="B1509" s="79"/>
      <c r="C1509" s="79"/>
      <c r="D1509" s="585"/>
    </row>
    <row r="1510" spans="2:4" ht="14.25" customHeight="1">
      <c r="B1510" s="79"/>
      <c r="C1510" s="79"/>
      <c r="D1510" s="585"/>
    </row>
    <row r="1511" spans="2:4" ht="14.25" customHeight="1">
      <c r="B1511" s="79"/>
      <c r="C1511" s="79"/>
      <c r="D1511" s="585"/>
    </row>
    <row r="1512" spans="2:4" ht="14.25" customHeight="1">
      <c r="B1512" s="79"/>
      <c r="C1512" s="79"/>
      <c r="D1512" s="585"/>
    </row>
    <row r="1513" spans="2:4" ht="14.25" customHeight="1">
      <c r="B1513" s="79"/>
      <c r="C1513" s="79"/>
      <c r="D1513" s="585"/>
    </row>
    <row r="1514" spans="2:4" ht="14.25" customHeight="1">
      <c r="B1514" s="79"/>
      <c r="C1514" s="79"/>
      <c r="D1514" s="585"/>
    </row>
    <row r="1515" spans="2:4" ht="14.25" customHeight="1">
      <c r="B1515" s="585"/>
      <c r="C1515" s="584"/>
      <c r="D1515" s="585"/>
    </row>
    <row r="1516" spans="2:4" ht="14.25" customHeight="1">
      <c r="B1516" s="585"/>
      <c r="C1516" s="584"/>
      <c r="D1516" s="585"/>
    </row>
    <row r="1517" spans="2:4" ht="14.25" customHeight="1">
      <c r="B1517" s="584"/>
      <c r="C1517" s="584"/>
      <c r="D1517" s="585"/>
    </row>
    <row r="1518" spans="2:4" ht="14.25" customHeight="1">
      <c r="B1518" s="79"/>
      <c r="C1518" s="79"/>
      <c r="D1518" s="585"/>
    </row>
    <row r="1519" spans="2:4" ht="14.25" customHeight="1">
      <c r="B1519" s="79"/>
      <c r="C1519" s="79"/>
      <c r="D1519" s="585"/>
    </row>
    <row r="1520" spans="2:4" ht="14.25" customHeight="1">
      <c r="B1520" s="79"/>
      <c r="C1520" s="79"/>
      <c r="D1520" s="585"/>
    </row>
    <row r="1521" spans="2:4" ht="14.25" customHeight="1">
      <c r="B1521" s="79"/>
      <c r="C1521" s="79"/>
      <c r="D1521" s="585"/>
    </row>
    <row r="1522" spans="2:4" ht="14.25" customHeight="1">
      <c r="B1522" s="584"/>
      <c r="C1522" s="584"/>
      <c r="D1522" s="585"/>
    </row>
    <row r="1523" spans="2:4" ht="14.25" customHeight="1">
      <c r="B1523" s="584"/>
      <c r="C1523" s="584"/>
      <c r="D1523" s="585"/>
    </row>
    <row r="1524" spans="2:4" ht="14.25" customHeight="1">
      <c r="B1524" s="79"/>
      <c r="C1524" s="79"/>
      <c r="D1524" s="585"/>
    </row>
    <row r="1525" spans="2:4" ht="14.25" customHeight="1">
      <c r="B1525" s="79"/>
      <c r="C1525" s="79"/>
      <c r="D1525" s="585"/>
    </row>
    <row r="1526" spans="2:4" ht="14.25" customHeight="1">
      <c r="B1526" s="79"/>
      <c r="C1526" s="79"/>
      <c r="D1526" s="585"/>
    </row>
    <row r="1527" spans="2:4" ht="14.25" customHeight="1">
      <c r="B1527" s="79"/>
      <c r="C1527" s="79"/>
      <c r="D1527" s="585"/>
    </row>
    <row r="1528" spans="2:4" ht="14.25" customHeight="1">
      <c r="B1528" s="79"/>
      <c r="C1528" s="79"/>
      <c r="D1528" s="585"/>
    </row>
    <row r="1529" spans="2:4" ht="14.25" customHeight="1">
      <c r="B1529" s="79"/>
      <c r="C1529" s="79"/>
      <c r="D1529" s="585"/>
    </row>
    <row r="1530" spans="2:4" ht="14.25" customHeight="1">
      <c r="B1530" s="79"/>
      <c r="C1530" s="79"/>
      <c r="D1530" s="585"/>
    </row>
    <row r="1531" spans="2:4" ht="14.25" customHeight="1">
      <c r="B1531" s="79"/>
      <c r="C1531" s="79"/>
      <c r="D1531" s="585"/>
    </row>
    <row r="1532" spans="2:4" ht="14.25" customHeight="1">
      <c r="B1532" s="79"/>
      <c r="C1532" s="79"/>
      <c r="D1532" s="585"/>
    </row>
    <row r="1533" spans="2:4" ht="14.25" customHeight="1">
      <c r="B1533" s="79"/>
      <c r="C1533" s="79"/>
      <c r="D1533" s="585"/>
    </row>
    <row r="1534" spans="2:4" ht="14.25" customHeight="1">
      <c r="B1534" s="584"/>
      <c r="C1534" s="585"/>
      <c r="D1534" s="585"/>
    </row>
    <row r="1535" spans="2:4" ht="14.25" customHeight="1">
      <c r="B1535" s="79"/>
      <c r="C1535" s="79"/>
      <c r="D1535" s="585"/>
    </row>
    <row r="1536" spans="2:4" ht="14.25" customHeight="1">
      <c r="B1536" s="79"/>
      <c r="C1536" s="79"/>
      <c r="D1536" s="585"/>
    </row>
    <row r="1537" spans="2:4" ht="14.25" customHeight="1">
      <c r="B1537" s="79"/>
      <c r="C1537" s="79"/>
      <c r="D1537" s="585"/>
    </row>
    <row r="1538" spans="2:4" ht="14.25" customHeight="1">
      <c r="B1538" s="79"/>
      <c r="C1538" s="79"/>
      <c r="D1538" s="585"/>
    </row>
    <row r="1539" spans="2:4" ht="14.25" customHeight="1">
      <c r="B1539" s="79"/>
      <c r="C1539" s="79"/>
      <c r="D1539" s="585"/>
    </row>
    <row r="1540" spans="2:4" ht="14.25" customHeight="1">
      <c r="B1540" s="79"/>
      <c r="C1540" s="79"/>
      <c r="D1540" s="585"/>
    </row>
    <row r="1541" spans="2:4" ht="14.25" customHeight="1">
      <c r="B1541" s="79"/>
      <c r="C1541" s="79"/>
      <c r="D1541" s="585"/>
    </row>
    <row r="1542" spans="2:4" ht="14.25" customHeight="1">
      <c r="B1542" s="79"/>
      <c r="C1542" s="79"/>
      <c r="D1542" s="585"/>
    </row>
    <row r="1543" spans="2:4" ht="14.25" customHeight="1">
      <c r="B1543" s="79"/>
      <c r="C1543" s="79"/>
      <c r="D1543" s="585"/>
    </row>
    <row r="1544" spans="2:4" ht="14.25" customHeight="1">
      <c r="B1544" s="585"/>
      <c r="C1544" s="584"/>
      <c r="D1544" s="585"/>
    </row>
    <row r="1545" spans="2:4" ht="14.25" customHeight="1">
      <c r="B1545" s="585"/>
      <c r="C1545" s="584"/>
      <c r="D1545" s="585"/>
    </row>
    <row r="1546" spans="2:4" ht="14.25" customHeight="1">
      <c r="B1546" s="584"/>
      <c r="C1546" s="584"/>
      <c r="D1546" s="585"/>
    </row>
    <row r="1547" spans="2:4" ht="14.25" customHeight="1">
      <c r="B1547" s="79"/>
      <c r="C1547" s="79"/>
      <c r="D1547" s="585"/>
    </row>
    <row r="1548" spans="2:4" ht="14.25" customHeight="1">
      <c r="B1548" s="79"/>
      <c r="C1548" s="79"/>
      <c r="D1548" s="585"/>
    </row>
    <row r="1549" spans="2:4" ht="14.25" customHeight="1">
      <c r="B1549" s="79"/>
      <c r="C1549" s="79"/>
      <c r="D1549" s="585"/>
    </row>
    <row r="1550" spans="2:4" ht="14.25" customHeight="1">
      <c r="B1550" s="585"/>
      <c r="C1550" s="584"/>
      <c r="D1550" s="585"/>
    </row>
    <row r="1551" spans="2:4" ht="14.25" customHeight="1">
      <c r="B1551" s="585"/>
      <c r="C1551" s="585"/>
      <c r="D1551" s="585"/>
    </row>
    <row r="1552" spans="2:4" ht="14.25" customHeight="1">
      <c r="B1552" s="584"/>
      <c r="C1552" s="584"/>
      <c r="D1552" s="585"/>
    </row>
    <row r="1553" spans="2:4" ht="14.25" customHeight="1">
      <c r="B1553" s="79"/>
      <c r="C1553" s="79"/>
      <c r="D1553" s="585"/>
    </row>
    <row r="1554" spans="2:4" ht="14.25" customHeight="1">
      <c r="B1554" s="79"/>
      <c r="C1554" s="79"/>
      <c r="D1554" s="585"/>
    </row>
    <row r="1555" spans="2:4" ht="14.25" customHeight="1">
      <c r="B1555" s="79"/>
      <c r="C1555" s="79"/>
      <c r="D1555" s="585"/>
    </row>
    <row r="1556" spans="2:4" ht="14.25" customHeight="1">
      <c r="B1556" s="79"/>
      <c r="C1556" s="79"/>
      <c r="D1556" s="585"/>
    </row>
    <row r="1557" spans="2:4" ht="14.25" customHeight="1">
      <c r="B1557" s="79"/>
      <c r="C1557" s="79"/>
      <c r="D1557" s="585"/>
    </row>
    <row r="1558" spans="2:4" ht="14.25" customHeight="1">
      <c r="B1558" s="79"/>
      <c r="C1558" s="79"/>
      <c r="D1558" s="585"/>
    </row>
    <row r="1559" spans="2:4" ht="14.25" customHeight="1">
      <c r="B1559" s="79"/>
      <c r="C1559" s="79"/>
      <c r="D1559" s="585"/>
    </row>
    <row r="1560" spans="2:4" ht="14.25" customHeight="1">
      <c r="B1560" s="79"/>
      <c r="C1560" s="79"/>
      <c r="D1560" s="585"/>
    </row>
    <row r="1561" spans="2:4" ht="14.25" customHeight="1">
      <c r="B1561" s="79"/>
      <c r="C1561" s="79"/>
      <c r="D1561" s="585"/>
    </row>
    <row r="1562" spans="2:4" ht="14.25" customHeight="1">
      <c r="B1562" s="79"/>
      <c r="C1562" s="79"/>
      <c r="D1562" s="585"/>
    </row>
    <row r="1563" spans="2:4" ht="14.25" customHeight="1">
      <c r="B1563" s="79"/>
      <c r="C1563" s="79"/>
      <c r="D1563" s="585"/>
    </row>
    <row r="1564" spans="2:4" ht="14.25" customHeight="1">
      <c r="B1564" s="79"/>
      <c r="C1564" s="79"/>
      <c r="D1564" s="585"/>
    </row>
    <row r="1565" spans="2:4" ht="14.25" customHeight="1">
      <c r="B1565" s="79"/>
      <c r="C1565" s="79"/>
      <c r="D1565" s="585"/>
    </row>
    <row r="1566" spans="2:4" ht="14.25" customHeight="1">
      <c r="B1566" s="585"/>
      <c r="C1566" s="585"/>
      <c r="D1566" s="585"/>
    </row>
    <row r="1567" spans="2:4" ht="14.25" customHeight="1">
      <c r="B1567" s="584"/>
      <c r="C1567" s="584"/>
      <c r="D1567" s="585"/>
    </row>
    <row r="1568" spans="2:4" ht="14.25" customHeight="1">
      <c r="B1568" s="79"/>
      <c r="C1568" s="79"/>
      <c r="D1568" s="585"/>
    </row>
    <row r="1569" spans="2:4" ht="14.25" customHeight="1">
      <c r="B1569" s="79"/>
      <c r="C1569" s="79"/>
      <c r="D1569" s="585"/>
    </row>
    <row r="1570" spans="2:4" ht="14.25" customHeight="1">
      <c r="B1570" s="79"/>
      <c r="C1570" s="79"/>
      <c r="D1570" s="585"/>
    </row>
    <row r="1571" spans="2:4" ht="14.25" customHeight="1">
      <c r="B1571" s="79"/>
      <c r="C1571" s="79"/>
      <c r="D1571" s="585"/>
    </row>
    <row r="1572" spans="2:4" ht="14.25" customHeight="1">
      <c r="B1572" s="79"/>
      <c r="C1572" s="79"/>
      <c r="D1572" s="585"/>
    </row>
    <row r="1573" spans="2:4" ht="14.25" customHeight="1">
      <c r="B1573" s="79"/>
      <c r="C1573" s="79"/>
      <c r="D1573" s="585"/>
    </row>
    <row r="1574" spans="2:4" ht="14.25" customHeight="1">
      <c r="B1574" s="79"/>
      <c r="C1574" s="79"/>
      <c r="D1574" s="585"/>
    </row>
    <row r="1575" spans="2:4" ht="14.25" customHeight="1">
      <c r="B1575" s="79"/>
      <c r="C1575" s="79"/>
      <c r="D1575" s="585"/>
    </row>
    <row r="1576" spans="2:4" ht="14.25" customHeight="1">
      <c r="B1576" s="79"/>
      <c r="C1576" s="584"/>
      <c r="D1576" s="585"/>
    </row>
    <row r="1577" spans="2:4" ht="14.25" customHeight="1">
      <c r="B1577" s="79"/>
      <c r="C1577" s="79"/>
      <c r="D1577" s="585"/>
    </row>
    <row r="1578" spans="2:4" ht="14.25" customHeight="1">
      <c r="B1578" s="79"/>
      <c r="C1578" s="79"/>
      <c r="D1578" s="585"/>
    </row>
    <row r="1579" spans="2:4" ht="14.25" customHeight="1">
      <c r="B1579" s="79"/>
      <c r="C1579" s="79"/>
      <c r="D1579" s="585"/>
    </row>
    <row r="1580" spans="2:4" ht="14.25" customHeight="1">
      <c r="B1580" s="79"/>
      <c r="C1580" s="79"/>
      <c r="D1580" s="585"/>
    </row>
    <row r="1581" spans="2:4" ht="14.25" customHeight="1">
      <c r="B1581" s="79"/>
      <c r="C1581" s="79"/>
      <c r="D1581" s="585"/>
    </row>
    <row r="1582" spans="2:4" ht="14.25" customHeight="1">
      <c r="B1582" s="79"/>
      <c r="C1582" s="79"/>
      <c r="D1582" s="585"/>
    </row>
    <row r="1583" spans="2:4" ht="14.25" customHeight="1">
      <c r="B1583" s="79"/>
      <c r="C1583" s="79"/>
      <c r="D1583" s="585"/>
    </row>
    <row r="1584" spans="2:4" ht="14.25" customHeight="1">
      <c r="B1584" s="584"/>
      <c r="C1584" s="584"/>
      <c r="D1584" s="585"/>
    </row>
    <row r="1585" spans="2:4" ht="14.25" customHeight="1">
      <c r="B1585" s="79"/>
      <c r="C1585" s="79"/>
      <c r="D1585" s="585"/>
    </row>
    <row r="1586" spans="2:4" ht="14.25" customHeight="1">
      <c r="B1586" s="79"/>
      <c r="C1586" s="79"/>
      <c r="D1586" s="585"/>
    </row>
    <row r="1587" spans="2:4" ht="14.25" customHeight="1">
      <c r="B1587" s="79"/>
      <c r="C1587" s="79"/>
      <c r="D1587" s="585"/>
    </row>
    <row r="1588" spans="2:4" ht="14.25" customHeight="1">
      <c r="B1588" s="79"/>
      <c r="C1588" s="79"/>
      <c r="D1588" s="585"/>
    </row>
    <row r="1589" spans="2:4" ht="14.25" customHeight="1">
      <c r="B1589" s="585"/>
      <c r="C1589" s="584"/>
      <c r="D1589" s="585"/>
    </row>
    <row r="1590" spans="2:4" ht="14.25" customHeight="1">
      <c r="B1590" s="585"/>
      <c r="C1590" s="584"/>
      <c r="D1590" s="585"/>
    </row>
    <row r="1591" spans="2:4" ht="14.25" customHeight="1">
      <c r="B1591" s="585"/>
      <c r="C1591" s="584"/>
      <c r="D1591" s="585"/>
    </row>
    <row r="1592" spans="2:4" ht="14.25" customHeight="1">
      <c r="B1592" s="585"/>
      <c r="C1592" s="584"/>
      <c r="D1592" s="585"/>
    </row>
    <row r="1593" spans="2:4" ht="14.25" customHeight="1">
      <c r="B1593" s="585"/>
      <c r="C1593" s="584"/>
      <c r="D1593" s="585"/>
    </row>
    <row r="1594" spans="2:4" ht="14.25" customHeight="1">
      <c r="B1594" s="585"/>
      <c r="C1594" s="584"/>
      <c r="D1594" s="585"/>
    </row>
    <row r="1595" spans="2:4" ht="14.25" customHeight="1">
      <c r="B1595" s="584"/>
      <c r="C1595" s="584"/>
      <c r="D1595" s="585"/>
    </row>
    <row r="1596" spans="2:4" ht="14.25" customHeight="1">
      <c r="B1596" s="584"/>
      <c r="C1596" s="584"/>
      <c r="D1596" s="585"/>
    </row>
    <row r="1597" spans="2:4" ht="14.25" customHeight="1">
      <c r="B1597" s="584"/>
      <c r="C1597" s="584"/>
      <c r="D1597" s="585"/>
    </row>
    <row r="1598" spans="2:4" ht="14.25" customHeight="1">
      <c r="B1598" s="584"/>
      <c r="C1598" s="584"/>
      <c r="D1598" s="585"/>
    </row>
    <row r="1599" spans="2:4" ht="14.25" customHeight="1">
      <c r="B1599" s="79"/>
      <c r="C1599" s="79"/>
      <c r="D1599" s="585"/>
    </row>
    <row r="1600" spans="2:4" ht="14.25" customHeight="1">
      <c r="B1600" s="79"/>
      <c r="C1600" s="79"/>
      <c r="D1600" s="585"/>
    </row>
    <row r="1601" spans="2:4" ht="14.25" customHeight="1">
      <c r="B1601" s="79"/>
      <c r="C1601" s="79"/>
      <c r="D1601" s="585"/>
    </row>
    <row r="1602" spans="2:4" ht="14.25" customHeight="1">
      <c r="B1602" s="79"/>
      <c r="C1602" s="79"/>
      <c r="D1602" s="585"/>
    </row>
    <row r="1603" spans="2:4" ht="14.25" customHeight="1">
      <c r="B1603" s="79"/>
      <c r="C1603" s="79"/>
      <c r="D1603" s="585"/>
    </row>
    <row r="1604" spans="2:4" ht="14.25" customHeight="1">
      <c r="B1604" s="79"/>
      <c r="C1604" s="79"/>
      <c r="D1604" s="585"/>
    </row>
    <row r="1605" spans="2:4" ht="14.25" customHeight="1">
      <c r="B1605" s="585"/>
      <c r="C1605" s="584"/>
      <c r="D1605" s="585"/>
    </row>
    <row r="1606" spans="2:4" ht="14.25" customHeight="1">
      <c r="B1606" s="79"/>
      <c r="C1606" s="79"/>
      <c r="D1606" s="585"/>
    </row>
    <row r="1607" spans="2:4" ht="14.25" customHeight="1">
      <c r="B1607" s="79"/>
      <c r="C1607" s="79"/>
      <c r="D1607" s="585"/>
    </row>
    <row r="1608" spans="2:4" ht="14.25" customHeight="1">
      <c r="B1608" s="79"/>
      <c r="C1608" s="79"/>
      <c r="D1608" s="585"/>
    </row>
    <row r="1609" spans="2:4" ht="14.25" customHeight="1">
      <c r="B1609" s="79"/>
      <c r="C1609" s="79"/>
      <c r="D1609" s="585"/>
    </row>
    <row r="1610" spans="2:4" ht="14.25" customHeight="1">
      <c r="B1610" s="585"/>
      <c r="C1610" s="585"/>
      <c r="D1610" s="585"/>
    </row>
    <row r="1611" spans="2:4" ht="14.25" customHeight="1">
      <c r="B1611" s="584"/>
      <c r="C1611" s="584"/>
      <c r="D1611" s="585"/>
    </row>
    <row r="1612" spans="2:4" ht="14.25" customHeight="1">
      <c r="B1612" s="584"/>
      <c r="C1612" s="584"/>
      <c r="D1612" s="585"/>
    </row>
    <row r="1613" spans="2:4" ht="14.25" customHeight="1">
      <c r="B1613" s="584"/>
      <c r="C1613" s="584"/>
      <c r="D1613" s="585"/>
    </row>
    <row r="1614" spans="2:4" ht="14.25" customHeight="1">
      <c r="B1614" s="584"/>
      <c r="C1614" s="584"/>
      <c r="D1614" s="585"/>
    </row>
    <row r="1615" spans="2:4" ht="14.25" customHeight="1">
      <c r="B1615" s="79"/>
      <c r="C1615" s="79"/>
      <c r="D1615" s="585"/>
    </row>
    <row r="1616" spans="2:4" ht="14.25" customHeight="1">
      <c r="B1616" s="79"/>
      <c r="C1616" s="79"/>
      <c r="D1616" s="585"/>
    </row>
    <row r="1617" spans="2:4" ht="14.25" customHeight="1">
      <c r="B1617" s="79"/>
      <c r="C1617" s="79"/>
      <c r="D1617" s="585"/>
    </row>
    <row r="1618" spans="2:4" ht="14.25" customHeight="1">
      <c r="B1618" s="79"/>
      <c r="C1618" s="79"/>
      <c r="D1618" s="585"/>
    </row>
    <row r="1619" spans="2:4" ht="14.25" customHeight="1">
      <c r="B1619" s="584"/>
      <c r="C1619" s="584"/>
      <c r="D1619" s="585"/>
    </row>
    <row r="1620" spans="2:4" ht="14.25" customHeight="1">
      <c r="B1620" s="79"/>
      <c r="C1620" s="79"/>
      <c r="D1620" s="585"/>
    </row>
    <row r="1621" spans="2:4" ht="14.25" customHeight="1">
      <c r="B1621" s="79"/>
      <c r="C1621" s="79"/>
      <c r="D1621" s="585"/>
    </row>
    <row r="1622" spans="2:4" ht="14.25" customHeight="1">
      <c r="B1622" s="79"/>
      <c r="C1622" s="79"/>
      <c r="D1622" s="585"/>
    </row>
    <row r="1623" spans="2:4" ht="14.25" customHeight="1">
      <c r="B1623" s="79"/>
      <c r="C1623" s="79"/>
      <c r="D1623" s="585"/>
    </row>
    <row r="1624" spans="2:4" ht="14.25" customHeight="1">
      <c r="B1624" s="584"/>
      <c r="C1624" s="584"/>
      <c r="D1624" s="585"/>
    </row>
    <row r="1625" spans="2:4" ht="14.25" customHeight="1">
      <c r="B1625" s="79"/>
      <c r="C1625" s="79"/>
      <c r="D1625" s="585"/>
    </row>
    <row r="1626" spans="2:4" ht="14.25" customHeight="1">
      <c r="B1626" s="79"/>
      <c r="C1626" s="79"/>
      <c r="D1626" s="585"/>
    </row>
    <row r="1627" spans="2:4" ht="14.25" customHeight="1">
      <c r="B1627" s="79"/>
      <c r="C1627" s="79"/>
      <c r="D1627" s="585"/>
    </row>
    <row r="1628" spans="2:4" ht="14.25" customHeight="1">
      <c r="B1628" s="79"/>
      <c r="C1628" s="79"/>
      <c r="D1628" s="585"/>
    </row>
    <row r="1629" spans="2:4" ht="14.25" customHeight="1">
      <c r="B1629" s="79"/>
      <c r="C1629" s="79"/>
      <c r="D1629" s="585"/>
    </row>
    <row r="1630" spans="2:4" ht="14.25" customHeight="1">
      <c r="B1630" s="79"/>
      <c r="C1630" s="79"/>
      <c r="D1630" s="585"/>
    </row>
    <row r="1631" spans="2:4" ht="14.25" customHeight="1">
      <c r="B1631" s="585"/>
      <c r="C1631" s="585"/>
      <c r="D1631" s="585"/>
    </row>
    <row r="1632" spans="2:4" ht="14.25" customHeight="1">
      <c r="B1632" s="79"/>
      <c r="C1632" s="79"/>
      <c r="D1632" s="585"/>
    </row>
    <row r="1633" spans="2:4" ht="14.25" customHeight="1">
      <c r="B1633" s="79"/>
      <c r="C1633" s="79"/>
      <c r="D1633" s="585"/>
    </row>
    <row r="1634" spans="2:4" ht="14.25" customHeight="1">
      <c r="B1634" s="79"/>
      <c r="C1634" s="79"/>
      <c r="D1634" s="585"/>
    </row>
    <row r="1635" spans="2:4" ht="14.25" customHeight="1">
      <c r="B1635" s="79"/>
      <c r="C1635" s="79"/>
      <c r="D1635" s="585"/>
    </row>
    <row r="1636" spans="2:4" ht="14.25" customHeight="1">
      <c r="B1636" s="79"/>
      <c r="C1636" s="79"/>
      <c r="D1636" s="585"/>
    </row>
    <row r="1637" spans="2:4" ht="14.25" customHeight="1">
      <c r="B1637" s="585"/>
      <c r="C1637" s="584"/>
      <c r="D1637" s="585"/>
    </row>
    <row r="1638" spans="2:4" ht="14.25" customHeight="1">
      <c r="B1638" s="79"/>
      <c r="C1638" s="79"/>
      <c r="D1638" s="585"/>
    </row>
    <row r="1639" spans="2:4" ht="14.25" customHeight="1">
      <c r="B1639" s="79"/>
      <c r="C1639" s="79"/>
      <c r="D1639" s="585"/>
    </row>
    <row r="1640" spans="2:4" ht="14.25" customHeight="1">
      <c r="B1640" s="79"/>
      <c r="C1640" s="79"/>
      <c r="D1640" s="585"/>
    </row>
    <row r="1641" spans="2:4" ht="14.25" customHeight="1">
      <c r="B1641" s="79"/>
      <c r="C1641" s="79"/>
      <c r="D1641" s="585"/>
    </row>
    <row r="1642" spans="2:4" ht="14.25" customHeight="1">
      <c r="B1642" s="584"/>
      <c r="C1642" s="584"/>
      <c r="D1642" s="585"/>
    </row>
    <row r="1643" spans="2:4" ht="14.25" customHeight="1">
      <c r="B1643" s="79"/>
      <c r="C1643" s="79"/>
      <c r="D1643" s="585"/>
    </row>
    <row r="1644" spans="2:4" ht="14.25" customHeight="1">
      <c r="B1644" s="79"/>
      <c r="C1644" s="79"/>
      <c r="D1644" s="585"/>
    </row>
    <row r="1645" spans="2:4" ht="14.25" customHeight="1">
      <c r="B1645" s="79"/>
      <c r="C1645" s="79"/>
      <c r="D1645" s="585"/>
    </row>
    <row r="1646" spans="2:4" ht="14.25" customHeight="1">
      <c r="B1646" s="584"/>
      <c r="C1646" s="584"/>
      <c r="D1646" s="585"/>
    </row>
    <row r="1647" spans="2:4" ht="14.25" customHeight="1">
      <c r="B1647" s="79"/>
      <c r="C1647" s="79"/>
      <c r="D1647" s="585"/>
    </row>
    <row r="1648" spans="2:4" ht="14.25" customHeight="1">
      <c r="B1648" s="79"/>
      <c r="C1648" s="79"/>
      <c r="D1648" s="585"/>
    </row>
    <row r="1649" spans="2:4" ht="14.25" customHeight="1">
      <c r="B1649" s="79"/>
      <c r="C1649" s="79"/>
      <c r="D1649" s="585"/>
    </row>
    <row r="1650" spans="2:4" ht="14.25" customHeight="1">
      <c r="B1650" s="585"/>
      <c r="C1650" s="585"/>
      <c r="D1650" s="585"/>
    </row>
    <row r="1651" spans="2:4" ht="14.25" customHeight="1">
      <c r="B1651" s="584"/>
      <c r="C1651" s="584"/>
      <c r="D1651" s="585"/>
    </row>
    <row r="1652" spans="2:4" ht="14.25" customHeight="1">
      <c r="B1652" s="584"/>
      <c r="C1652" s="584"/>
      <c r="D1652" s="585"/>
    </row>
    <row r="1653" spans="2:4" ht="14.25" customHeight="1">
      <c r="B1653" s="584"/>
      <c r="C1653" s="584"/>
      <c r="D1653" s="585"/>
    </row>
    <row r="1654" spans="2:4" ht="14.25" customHeight="1">
      <c r="B1654" s="584"/>
      <c r="C1654" s="584"/>
      <c r="D1654" s="585"/>
    </row>
    <row r="1655" spans="2:4" ht="14.25" customHeight="1">
      <c r="B1655" s="584"/>
      <c r="C1655" s="584"/>
      <c r="D1655" s="585"/>
    </row>
    <row r="1656" spans="2:4" ht="14.25" customHeight="1">
      <c r="B1656" s="79"/>
      <c r="C1656" s="79"/>
      <c r="D1656" s="585"/>
    </row>
    <row r="1657" spans="2:4" ht="14.25" customHeight="1">
      <c r="B1657" s="79"/>
      <c r="C1657" s="79"/>
      <c r="D1657" s="585"/>
    </row>
    <row r="1658" spans="2:4" ht="14.25" customHeight="1">
      <c r="B1658" s="79"/>
      <c r="C1658" s="79"/>
      <c r="D1658" s="585"/>
    </row>
    <row r="1659" spans="2:4" ht="14.25" customHeight="1">
      <c r="B1659" s="79"/>
      <c r="C1659" s="79"/>
      <c r="D1659" s="585"/>
    </row>
    <row r="1660" spans="2:4" ht="14.25" customHeight="1">
      <c r="B1660" s="79"/>
      <c r="C1660" s="79"/>
      <c r="D1660" s="585"/>
    </row>
    <row r="1661" spans="2:4" ht="14.25" customHeight="1">
      <c r="B1661" s="79"/>
      <c r="C1661" s="79"/>
      <c r="D1661" s="585"/>
    </row>
    <row r="1662" spans="2:4" ht="14.25" customHeight="1">
      <c r="B1662" s="79"/>
      <c r="C1662" s="79"/>
      <c r="D1662" s="585"/>
    </row>
    <row r="1663" spans="2:4" ht="14.25" customHeight="1">
      <c r="B1663" s="79"/>
      <c r="C1663" s="79"/>
      <c r="D1663" s="585"/>
    </row>
    <row r="1664" spans="2:4" ht="14.25" customHeight="1">
      <c r="B1664" s="584"/>
      <c r="C1664" s="584"/>
      <c r="D1664" s="585"/>
    </row>
    <row r="1665" spans="2:4" ht="14.25" customHeight="1">
      <c r="B1665" s="584"/>
      <c r="C1665" s="584"/>
      <c r="D1665" s="585"/>
    </row>
    <row r="1666" spans="2:4" ht="14.25" customHeight="1">
      <c r="B1666" s="584"/>
      <c r="C1666" s="584"/>
      <c r="D1666" s="585"/>
    </row>
    <row r="1667" spans="2:4" ht="14.25" customHeight="1">
      <c r="B1667" s="584"/>
      <c r="C1667" s="584"/>
      <c r="D1667" s="585"/>
    </row>
    <row r="1668" spans="2:4" ht="14.25" customHeight="1">
      <c r="B1668" s="584"/>
      <c r="C1668" s="584"/>
      <c r="D1668" s="585"/>
    </row>
    <row r="1669" spans="2:4" ht="14.25" customHeight="1">
      <c r="B1669" s="584"/>
      <c r="C1669" s="584"/>
      <c r="D1669" s="585"/>
    </row>
    <row r="1670" spans="2:4" ht="14.25" customHeight="1">
      <c r="B1670" s="79"/>
      <c r="C1670" s="79"/>
      <c r="D1670" s="585"/>
    </row>
    <row r="1671" spans="2:4" ht="14.25" customHeight="1">
      <c r="B1671" s="79"/>
      <c r="C1671" s="79"/>
      <c r="D1671" s="585"/>
    </row>
    <row r="1672" spans="2:4" ht="14.25" customHeight="1">
      <c r="B1672" s="79"/>
      <c r="C1672" s="79"/>
      <c r="D1672" s="585"/>
    </row>
    <row r="1673" spans="2:4" ht="14.25" customHeight="1">
      <c r="B1673" s="79"/>
      <c r="C1673" s="79"/>
      <c r="D1673" s="585"/>
    </row>
    <row r="1674" spans="2:4" ht="14.25" customHeight="1">
      <c r="B1674" s="79"/>
      <c r="C1674" s="79"/>
      <c r="D1674" s="585"/>
    </row>
    <row r="1675" spans="2:4" ht="14.25" customHeight="1">
      <c r="B1675" s="79"/>
      <c r="C1675" s="79"/>
      <c r="D1675" s="585"/>
    </row>
    <row r="1676" spans="2:4" ht="14.25" customHeight="1">
      <c r="B1676" s="79"/>
      <c r="C1676" s="79"/>
      <c r="D1676" s="585"/>
    </row>
    <row r="1677" spans="2:4" ht="14.25" customHeight="1">
      <c r="B1677" s="79"/>
      <c r="C1677" s="79"/>
      <c r="D1677" s="585"/>
    </row>
    <row r="1678" spans="2:4" ht="14.25" customHeight="1">
      <c r="B1678" s="79"/>
      <c r="C1678" s="79"/>
      <c r="D1678" s="585"/>
    </row>
    <row r="1679" spans="2:4" ht="14.25" customHeight="1">
      <c r="B1679" s="584"/>
      <c r="C1679" s="584"/>
      <c r="D1679" s="585"/>
    </row>
    <row r="1680" spans="2:4" ht="14.25" customHeight="1">
      <c r="B1680" s="584"/>
      <c r="C1680" s="584"/>
      <c r="D1680" s="585"/>
    </row>
    <row r="1681" spans="2:4" ht="14.25" customHeight="1">
      <c r="B1681" s="584"/>
      <c r="C1681" s="584"/>
      <c r="D1681" s="585"/>
    </row>
    <row r="1682" spans="2:4" ht="14.25" customHeight="1">
      <c r="B1682" s="584"/>
      <c r="C1682" s="584"/>
      <c r="D1682" s="585"/>
    </row>
    <row r="1683" spans="2:4" ht="14.25" customHeight="1">
      <c r="B1683" s="584"/>
      <c r="C1683" s="584"/>
      <c r="D1683" s="585"/>
    </row>
    <row r="1684" spans="2:4" ht="14.25" customHeight="1">
      <c r="B1684" s="584"/>
      <c r="C1684" s="584"/>
      <c r="D1684" s="585"/>
    </row>
    <row r="1685" spans="2:4" ht="14.25" customHeight="1">
      <c r="B1685" s="584"/>
      <c r="C1685" s="584"/>
      <c r="D1685" s="585"/>
    </row>
    <row r="1686" spans="2:4" ht="14.25" customHeight="1">
      <c r="B1686" s="584"/>
      <c r="C1686" s="584"/>
      <c r="D1686" s="585"/>
    </row>
    <row r="1687" spans="2:4" ht="14.25" customHeight="1">
      <c r="B1687" s="584"/>
      <c r="C1687" s="584"/>
      <c r="D1687" s="585"/>
    </row>
    <row r="1688" spans="2:4" ht="14.25" customHeight="1">
      <c r="B1688" s="584"/>
      <c r="C1688" s="584"/>
      <c r="D1688" s="585"/>
    </row>
    <row r="1689" spans="2:4" ht="14.25" customHeight="1">
      <c r="B1689" s="584"/>
      <c r="C1689" s="584"/>
      <c r="D1689" s="585"/>
    </row>
    <row r="1690" spans="2:4" ht="14.25" customHeight="1">
      <c r="B1690" s="584"/>
      <c r="C1690" s="584"/>
      <c r="D1690" s="585"/>
    </row>
    <row r="1691" spans="2:4" ht="14.25" customHeight="1">
      <c r="B1691" s="584"/>
      <c r="C1691" s="584"/>
      <c r="D1691" s="585"/>
    </row>
    <row r="1692" spans="2:4" ht="14.25" customHeight="1">
      <c r="B1692" s="584"/>
      <c r="C1692" s="584"/>
      <c r="D1692" s="585"/>
    </row>
    <row r="1693" spans="2:4" ht="14.25" customHeight="1">
      <c r="B1693" s="79"/>
      <c r="C1693" s="79"/>
      <c r="D1693" s="585"/>
    </row>
    <row r="1694" spans="2:4" ht="14.25" customHeight="1">
      <c r="B1694" s="79"/>
      <c r="C1694" s="79"/>
      <c r="D1694" s="585"/>
    </row>
    <row r="1695" spans="2:4" ht="14.25" customHeight="1">
      <c r="B1695" s="79"/>
      <c r="C1695" s="79"/>
      <c r="D1695" s="585"/>
    </row>
    <row r="1696" spans="2:4" ht="14.25" customHeight="1">
      <c r="B1696" s="79"/>
      <c r="C1696" s="79"/>
      <c r="D1696" s="585"/>
    </row>
    <row r="1697" spans="2:4" ht="14.25" customHeight="1">
      <c r="B1697" s="79"/>
      <c r="C1697" s="79"/>
      <c r="D1697" s="585"/>
    </row>
    <row r="1698" spans="2:4" ht="14.25" customHeight="1">
      <c r="B1698" s="79"/>
      <c r="C1698" s="79"/>
      <c r="D1698" s="585"/>
    </row>
    <row r="1699" spans="2:4" ht="14.25" customHeight="1">
      <c r="B1699" s="79"/>
      <c r="C1699" s="79"/>
      <c r="D1699" s="585"/>
    </row>
    <row r="1700" spans="2:4" ht="14.25" customHeight="1">
      <c r="B1700" s="585"/>
      <c r="C1700" s="584"/>
      <c r="D1700" s="585"/>
    </row>
    <row r="1701" spans="2:4" ht="14.25" customHeight="1">
      <c r="B1701" s="585"/>
      <c r="C1701" s="585"/>
      <c r="D1701" s="585"/>
    </row>
    <row r="1702" spans="2:4" ht="14.25" customHeight="1">
      <c r="B1702" s="584"/>
      <c r="C1702" s="584"/>
      <c r="D1702" s="585"/>
    </row>
    <row r="1703" spans="2:4" ht="14.25" customHeight="1">
      <c r="B1703" s="584"/>
      <c r="C1703" s="584"/>
      <c r="D1703" s="585"/>
    </row>
    <row r="1704" spans="2:4" ht="14.25" customHeight="1">
      <c r="B1704" s="584"/>
      <c r="C1704" s="584"/>
      <c r="D1704" s="585"/>
    </row>
    <row r="1705" spans="2:4" ht="14.25" customHeight="1">
      <c r="B1705" s="584"/>
      <c r="C1705" s="584"/>
      <c r="D1705" s="585"/>
    </row>
    <row r="1706" spans="2:4" ht="14.25" customHeight="1">
      <c r="B1706" s="584"/>
      <c r="C1706" s="584"/>
      <c r="D1706" s="585"/>
    </row>
    <row r="1707" spans="2:4" ht="14.25" customHeight="1">
      <c r="B1707" s="584"/>
      <c r="C1707" s="584"/>
      <c r="D1707" s="585"/>
    </row>
    <row r="1708" spans="2:4" ht="14.25" customHeight="1">
      <c r="B1708" s="79"/>
      <c r="C1708" s="79"/>
      <c r="D1708" s="585"/>
    </row>
    <row r="1709" spans="2:4" ht="14.25" customHeight="1">
      <c r="B1709" s="79"/>
      <c r="C1709" s="79"/>
      <c r="D1709" s="585"/>
    </row>
    <row r="1710" spans="2:4" ht="14.25" customHeight="1">
      <c r="B1710" s="79"/>
      <c r="C1710" s="79"/>
      <c r="D1710" s="585"/>
    </row>
    <row r="1711" spans="2:4" ht="14.25" customHeight="1">
      <c r="B1711" s="79"/>
      <c r="C1711" s="79"/>
      <c r="D1711" s="585"/>
    </row>
    <row r="1712" spans="2:4" ht="14.25" customHeight="1">
      <c r="B1712" s="79"/>
      <c r="C1712" s="79"/>
      <c r="D1712" s="585"/>
    </row>
    <row r="1713" spans="2:4" ht="14.25" customHeight="1">
      <c r="B1713" s="79"/>
      <c r="C1713" s="79"/>
      <c r="D1713" s="585"/>
    </row>
    <row r="1714" spans="2:4" ht="14.25" customHeight="1">
      <c r="B1714" s="79"/>
      <c r="C1714" s="79"/>
      <c r="D1714" s="585"/>
    </row>
    <row r="1715" spans="2:4" ht="14.25" customHeight="1">
      <c r="B1715" s="584"/>
      <c r="C1715" s="584"/>
      <c r="D1715" s="585"/>
    </row>
    <row r="1716" spans="2:4" ht="14.25" customHeight="1">
      <c r="B1716" s="584"/>
      <c r="C1716" s="584"/>
      <c r="D1716" s="585"/>
    </row>
    <row r="1717" spans="2:4" ht="14.25" customHeight="1">
      <c r="B1717" s="584"/>
      <c r="C1717" s="584"/>
      <c r="D1717" s="585"/>
    </row>
    <row r="1718" spans="2:4" ht="14.25" customHeight="1">
      <c r="B1718" s="584"/>
      <c r="C1718" s="584"/>
      <c r="D1718" s="585"/>
    </row>
    <row r="1719" spans="2:4" ht="14.25" customHeight="1">
      <c r="B1719" s="584"/>
      <c r="C1719" s="584"/>
      <c r="D1719" s="585"/>
    </row>
    <row r="1720" spans="2:4" ht="14.25" customHeight="1">
      <c r="B1720" s="584"/>
      <c r="C1720" s="584"/>
      <c r="D1720" s="585"/>
    </row>
    <row r="1721" spans="2:4" ht="14.25" customHeight="1">
      <c r="B1721" s="584"/>
      <c r="C1721" s="584"/>
      <c r="D1721" s="585"/>
    </row>
    <row r="1722" spans="2:4" ht="14.25" customHeight="1">
      <c r="B1722" s="584"/>
      <c r="C1722" s="584"/>
      <c r="D1722" s="585"/>
    </row>
    <row r="1723" spans="2:4" ht="14.25" customHeight="1">
      <c r="B1723" s="79"/>
      <c r="C1723" s="79"/>
      <c r="D1723" s="585"/>
    </row>
    <row r="1724" spans="2:4" ht="14.25" customHeight="1">
      <c r="B1724" s="79"/>
      <c r="C1724" s="79"/>
      <c r="D1724" s="585"/>
    </row>
    <row r="1725" spans="2:4" ht="14.25" customHeight="1">
      <c r="B1725" s="79"/>
      <c r="C1725" s="79"/>
      <c r="D1725" s="585"/>
    </row>
    <row r="1726" spans="2:4" ht="14.25" customHeight="1">
      <c r="B1726" s="79"/>
      <c r="C1726" s="79"/>
      <c r="D1726" s="585"/>
    </row>
    <row r="1727" spans="2:4" ht="14.25" customHeight="1">
      <c r="B1727" s="79"/>
      <c r="C1727" s="79"/>
      <c r="D1727" s="585"/>
    </row>
    <row r="1728" spans="2:4" ht="14.25" customHeight="1">
      <c r="B1728" s="79"/>
      <c r="C1728" s="79"/>
      <c r="D1728" s="585"/>
    </row>
    <row r="1729" spans="2:4" ht="14.25" customHeight="1">
      <c r="B1729" s="79"/>
      <c r="C1729" s="79"/>
      <c r="D1729" s="585"/>
    </row>
    <row r="1730" spans="2:4" ht="14.25" customHeight="1">
      <c r="B1730" s="79"/>
      <c r="C1730" s="79"/>
      <c r="D1730" s="585"/>
    </row>
    <row r="1731" spans="2:4" ht="14.25" customHeight="1">
      <c r="B1731" s="79"/>
      <c r="C1731" s="79"/>
      <c r="D1731" s="585"/>
    </row>
    <row r="1732" spans="2:4" ht="14.25" customHeight="1">
      <c r="B1732" s="79"/>
      <c r="C1732" s="79"/>
      <c r="D1732" s="585"/>
    </row>
    <row r="1733" spans="2:4" ht="14.25" customHeight="1">
      <c r="B1733" s="79"/>
      <c r="C1733" s="79"/>
      <c r="D1733" s="585"/>
    </row>
    <row r="1734" spans="2:4" ht="14.25" customHeight="1">
      <c r="B1734" s="79"/>
      <c r="C1734" s="79"/>
      <c r="D1734" s="585"/>
    </row>
    <row r="1735" spans="2:4" ht="14.25" customHeight="1">
      <c r="B1735" s="79"/>
      <c r="C1735" s="79"/>
      <c r="D1735" s="585"/>
    </row>
    <row r="1736" spans="2:4" ht="14.25" customHeight="1">
      <c r="B1736" s="79"/>
      <c r="C1736" s="79"/>
      <c r="D1736" s="585"/>
    </row>
    <row r="1737" spans="2:4" ht="14.25" customHeight="1">
      <c r="B1737" s="79"/>
      <c r="C1737" s="79"/>
      <c r="D1737" s="585"/>
    </row>
    <row r="1738" spans="2:4" ht="14.25" customHeight="1">
      <c r="B1738" s="79"/>
      <c r="C1738" s="79"/>
      <c r="D1738" s="585"/>
    </row>
    <row r="1739" spans="2:4" ht="14.25" customHeight="1">
      <c r="B1739" s="79"/>
      <c r="C1739" s="79"/>
      <c r="D1739" s="585"/>
    </row>
    <row r="1740" spans="2:4" ht="14.25" customHeight="1">
      <c r="B1740" s="585"/>
      <c r="C1740" s="585"/>
      <c r="D1740" s="585"/>
    </row>
    <row r="1741" spans="2:4" ht="14.25" customHeight="1">
      <c r="B1741" s="79"/>
      <c r="C1741" s="79"/>
      <c r="D1741" s="585"/>
    </row>
    <row r="1742" spans="2:4" ht="14.25" customHeight="1">
      <c r="B1742" s="79"/>
      <c r="C1742" s="79"/>
      <c r="D1742" s="585"/>
    </row>
    <row r="1743" spans="2:4" ht="14.25" customHeight="1">
      <c r="B1743" s="79"/>
      <c r="C1743" s="79"/>
      <c r="D1743" s="585"/>
    </row>
    <row r="1744" spans="2:4" ht="14.25" customHeight="1">
      <c r="B1744" s="584"/>
      <c r="C1744" s="584"/>
      <c r="D1744" s="585"/>
    </row>
    <row r="1745" spans="2:4" ht="14.25" customHeight="1">
      <c r="B1745" s="585"/>
      <c r="C1745" s="585"/>
      <c r="D1745" s="585"/>
    </row>
    <row r="1746" spans="2:4" ht="14.25" customHeight="1">
      <c r="B1746" s="79"/>
      <c r="C1746" s="79"/>
      <c r="D1746" s="585"/>
    </row>
    <row r="1747" spans="2:4" ht="14.25" customHeight="1">
      <c r="B1747" s="79"/>
      <c r="C1747" s="79"/>
      <c r="D1747" s="585"/>
    </row>
    <row r="1748" spans="2:4" ht="14.25" customHeight="1">
      <c r="B1748" s="585"/>
      <c r="C1748" s="585"/>
      <c r="D1748" s="585"/>
    </row>
    <row r="1749" spans="2:4" ht="14.25" customHeight="1">
      <c r="B1749" s="79"/>
      <c r="C1749" s="79"/>
      <c r="D1749" s="585"/>
    </row>
    <row r="1750" spans="2:4" ht="14.25" customHeight="1">
      <c r="B1750" s="79"/>
      <c r="C1750" s="79"/>
      <c r="D1750" s="585"/>
    </row>
    <row r="1751" spans="2:4" ht="14.25" customHeight="1">
      <c r="B1751" s="585"/>
      <c r="C1751" s="585"/>
      <c r="D1751" s="585"/>
    </row>
    <row r="1752" spans="2:4" ht="14.25" customHeight="1">
      <c r="B1752" s="585"/>
      <c r="C1752" s="585"/>
      <c r="D1752" s="585"/>
    </row>
    <row r="1753" spans="2:4" ht="14.25" customHeight="1">
      <c r="B1753" s="79"/>
      <c r="C1753" s="79"/>
      <c r="D1753" s="585"/>
    </row>
    <row r="1754" spans="2:4" ht="14.25" customHeight="1">
      <c r="B1754" s="585"/>
      <c r="C1754" s="585"/>
      <c r="D1754" s="585"/>
    </row>
    <row r="1755" spans="2:4" ht="14.25" customHeight="1">
      <c r="B1755" s="584"/>
      <c r="C1755" s="584"/>
      <c r="D1755" s="585"/>
    </row>
    <row r="1756" spans="2:4" ht="14.25" customHeight="1">
      <c r="B1756" s="584"/>
      <c r="C1756" s="584"/>
      <c r="D1756" s="585"/>
    </row>
    <row r="1757" spans="2:4" ht="14.25" customHeight="1">
      <c r="B1757" s="79"/>
      <c r="C1757" s="79"/>
      <c r="D1757" s="585"/>
    </row>
    <row r="1758" spans="2:4" ht="14.25" customHeight="1">
      <c r="B1758" s="585"/>
      <c r="C1758" s="585"/>
      <c r="D1758" s="585"/>
    </row>
    <row r="1759" spans="2:4" ht="14.25" customHeight="1">
      <c r="B1759" s="79"/>
      <c r="C1759" s="79"/>
      <c r="D1759" s="585"/>
    </row>
    <row r="1760" spans="2:4" ht="14.25" customHeight="1">
      <c r="B1760" s="79"/>
      <c r="C1760" s="79"/>
      <c r="D1760" s="585"/>
    </row>
    <row r="1761" spans="2:4" ht="14.25" customHeight="1">
      <c r="B1761" s="79"/>
      <c r="C1761" s="79"/>
      <c r="D1761" s="585"/>
    </row>
    <row r="1762" spans="2:4" ht="14.25" customHeight="1">
      <c r="B1762" s="584"/>
      <c r="C1762" s="584"/>
      <c r="D1762" s="585"/>
    </row>
    <row r="1763" spans="2:4" ht="14.25" customHeight="1">
      <c r="B1763" s="585"/>
      <c r="C1763" s="585"/>
      <c r="D1763" s="585"/>
    </row>
    <row r="1764" spans="2:4" ht="14.25" customHeight="1">
      <c r="B1764" s="584"/>
      <c r="C1764" s="584"/>
      <c r="D1764" s="585"/>
    </row>
    <row r="1765" spans="2:4" ht="14.25" customHeight="1">
      <c r="B1765" s="584"/>
      <c r="C1765" s="584"/>
      <c r="D1765" s="585"/>
    </row>
    <row r="1766" spans="2:4" ht="14.25" customHeight="1">
      <c r="B1766" s="584"/>
      <c r="C1766" s="584"/>
      <c r="D1766" s="585"/>
    </row>
    <row r="1767" spans="2:4" ht="14.25" customHeight="1">
      <c r="B1767" s="584"/>
      <c r="C1767" s="584"/>
      <c r="D1767" s="585"/>
    </row>
    <row r="1768" spans="2:4" ht="14.25" customHeight="1">
      <c r="B1768" s="584"/>
      <c r="C1768" s="584"/>
      <c r="D1768" s="585"/>
    </row>
    <row r="1769" spans="2:4" ht="14.25" customHeight="1">
      <c r="B1769" s="79"/>
      <c r="C1769" s="79"/>
      <c r="D1769" s="585"/>
    </row>
    <row r="1770" spans="2:4" ht="14.25" customHeight="1">
      <c r="B1770" s="79"/>
      <c r="C1770" s="79"/>
      <c r="D1770" s="585"/>
    </row>
    <row r="1771" spans="2:4" ht="14.25" customHeight="1">
      <c r="B1771" s="79"/>
      <c r="C1771" s="79"/>
      <c r="D1771" s="585"/>
    </row>
    <row r="1772" spans="2:4" ht="14.25" customHeight="1">
      <c r="B1772" s="79"/>
      <c r="C1772" s="79"/>
      <c r="D1772" s="585"/>
    </row>
    <row r="1773" spans="2:4" ht="14.25" customHeight="1">
      <c r="B1773" s="585"/>
      <c r="C1773" s="585"/>
      <c r="D1773" s="585"/>
    </row>
    <row r="1774" spans="2:4" ht="14.25" customHeight="1">
      <c r="B1774" s="585"/>
      <c r="C1774" s="585"/>
      <c r="D1774" s="585"/>
    </row>
    <row r="1775" spans="2:4" ht="14.25" customHeight="1">
      <c r="B1775" s="585"/>
      <c r="C1775" s="585"/>
      <c r="D1775" s="585"/>
    </row>
    <row r="1776" spans="2:4" ht="14.25" customHeight="1">
      <c r="B1776" s="79"/>
      <c r="C1776" s="585"/>
      <c r="D1776" s="585"/>
    </row>
    <row r="1777" spans="2:4" ht="14.25" customHeight="1">
      <c r="B1777" s="79"/>
      <c r="C1777" s="585"/>
      <c r="D1777" s="585"/>
    </row>
    <row r="1778" spans="2:4" ht="14.25" customHeight="1">
      <c r="B1778" s="79"/>
      <c r="C1778" s="79"/>
      <c r="D1778" s="585"/>
    </row>
    <row r="1779" spans="2:4" ht="14.25" customHeight="1">
      <c r="B1779" s="585"/>
      <c r="C1779" s="585"/>
      <c r="D1779" s="585"/>
    </row>
    <row r="1780" spans="2:4" ht="14.25" customHeight="1">
      <c r="B1780" s="585"/>
      <c r="C1780" s="585"/>
      <c r="D1780" s="585"/>
    </row>
    <row r="1781" spans="2:4" ht="14.25" customHeight="1">
      <c r="B1781" s="585"/>
      <c r="C1781" s="585"/>
      <c r="D1781" s="585"/>
    </row>
    <row r="1782" spans="2:4" ht="14.25" customHeight="1">
      <c r="B1782" s="584"/>
      <c r="C1782" s="584"/>
      <c r="D1782" s="585"/>
    </row>
    <row r="1783" spans="2:4" ht="14.25" customHeight="1">
      <c r="B1783" s="584"/>
      <c r="C1783" s="584"/>
      <c r="D1783" s="585"/>
    </row>
    <row r="1784" spans="2:4" ht="14.25" customHeight="1">
      <c r="B1784" s="584"/>
      <c r="C1784" s="584"/>
      <c r="D1784" s="585"/>
    </row>
    <row r="1785" spans="2:4" ht="14.25" customHeight="1">
      <c r="B1785" s="585"/>
      <c r="C1785" s="585"/>
      <c r="D1785" s="585"/>
    </row>
    <row r="1786" spans="2:4" ht="14.25" customHeight="1">
      <c r="B1786" s="584"/>
      <c r="C1786" s="584"/>
      <c r="D1786" s="585"/>
    </row>
    <row r="1787" spans="2:4" ht="14.25" customHeight="1">
      <c r="B1787" s="584"/>
      <c r="C1787" s="584"/>
      <c r="D1787" s="585"/>
    </row>
    <row r="1788" spans="2:4" ht="14.25" customHeight="1">
      <c r="B1788" s="584"/>
      <c r="C1788" s="584"/>
      <c r="D1788" s="585"/>
    </row>
    <row r="1789" spans="2:4" ht="14.25" customHeight="1">
      <c r="B1789" s="584"/>
      <c r="C1789" s="584"/>
      <c r="D1789" s="585"/>
    </row>
    <row r="1790" spans="2:4" ht="14.25" customHeight="1">
      <c r="B1790" s="584"/>
      <c r="C1790" s="584"/>
      <c r="D1790" s="585"/>
    </row>
    <row r="1791" spans="2:4" ht="14.25" customHeight="1">
      <c r="B1791" s="584"/>
      <c r="C1791" s="584"/>
      <c r="D1791" s="585"/>
    </row>
    <row r="1792" spans="2:4" ht="14.25" customHeight="1">
      <c r="B1792" s="584"/>
      <c r="C1792" s="584"/>
      <c r="D1792" s="585"/>
    </row>
    <row r="1793" spans="2:4" ht="14.25" customHeight="1">
      <c r="B1793" s="585"/>
      <c r="C1793" s="585"/>
      <c r="D1793" s="585"/>
    </row>
    <row r="1794" spans="2:4" ht="14.25" customHeight="1">
      <c r="B1794" s="585"/>
      <c r="C1794" s="584"/>
      <c r="D1794" s="585"/>
    </row>
    <row r="1795" spans="2:4" ht="14.25" customHeight="1">
      <c r="B1795" s="584"/>
      <c r="C1795" s="584"/>
      <c r="D1795" s="585"/>
    </row>
    <row r="1796" spans="2:4" ht="14.25" customHeight="1">
      <c r="B1796" s="79"/>
      <c r="C1796" s="79"/>
      <c r="D1796" s="585"/>
    </row>
    <row r="1797" spans="2:4" ht="14.25" customHeight="1">
      <c r="B1797" s="79"/>
      <c r="C1797" s="79"/>
      <c r="D1797" s="585"/>
    </row>
    <row r="1798" spans="2:4" ht="14.25" customHeight="1">
      <c r="B1798" s="584"/>
      <c r="C1798" s="584"/>
      <c r="D1798" s="585"/>
    </row>
    <row r="1799" spans="2:4" ht="14.25" customHeight="1">
      <c r="B1799" s="584"/>
      <c r="C1799" s="584"/>
      <c r="D1799" s="585"/>
    </row>
    <row r="1800" spans="2:4" ht="14.25" customHeight="1">
      <c r="B1800" s="79"/>
      <c r="C1800" s="79"/>
      <c r="D1800" s="585"/>
    </row>
    <row r="1801" spans="2:4" ht="14.25" customHeight="1">
      <c r="B1801" s="585"/>
      <c r="C1801" s="584"/>
      <c r="D1801" s="585"/>
    </row>
    <row r="1802" spans="2:4" ht="14.25" customHeight="1">
      <c r="B1802" s="584"/>
      <c r="C1802" s="584"/>
      <c r="D1802" s="585"/>
    </row>
    <row r="1803" spans="2:4" ht="14.25" customHeight="1">
      <c r="B1803" s="584"/>
      <c r="C1803" s="584"/>
      <c r="D1803" s="585"/>
    </row>
    <row r="1804" spans="2:4" ht="14.25" customHeight="1">
      <c r="B1804" s="584"/>
      <c r="C1804" s="584"/>
      <c r="D1804" s="585"/>
    </row>
    <row r="1805" spans="2:4" ht="14.25" customHeight="1">
      <c r="B1805" s="79"/>
      <c r="C1805" s="79"/>
      <c r="D1805" s="585"/>
    </row>
    <row r="1806" spans="2:4" ht="14.25" customHeight="1">
      <c r="B1806" s="79"/>
      <c r="C1806" s="79"/>
      <c r="D1806" s="585"/>
    </row>
    <row r="1807" spans="2:4" ht="14.25" customHeight="1">
      <c r="B1807" s="585"/>
      <c r="C1807" s="584"/>
      <c r="D1807" s="585"/>
    </row>
    <row r="1808" spans="2:4" ht="14.25" customHeight="1">
      <c r="B1808" s="585"/>
      <c r="C1808" s="585"/>
      <c r="D1808" s="585"/>
    </row>
    <row r="1809" spans="2:4" ht="14.25" customHeight="1">
      <c r="B1809" s="79"/>
      <c r="C1809" s="79"/>
      <c r="D1809" s="585"/>
    </row>
    <row r="1810" spans="2:4" ht="14.25" customHeight="1">
      <c r="B1810" s="79"/>
      <c r="C1810" s="79"/>
      <c r="D1810" s="585"/>
    </row>
    <row r="1811" spans="2:4" ht="14.25" customHeight="1">
      <c r="B1811" s="79"/>
      <c r="C1811" s="79"/>
      <c r="D1811" s="585"/>
    </row>
    <row r="1812" spans="2:4" ht="14.25" customHeight="1">
      <c r="B1812" s="584"/>
      <c r="C1812" s="584"/>
      <c r="D1812" s="585"/>
    </row>
    <row r="1813" spans="2:4" ht="14.25" customHeight="1">
      <c r="B1813" s="584"/>
      <c r="C1813" s="584"/>
      <c r="D1813" s="585"/>
    </row>
  </sheetData>
  <sortState xmlns:xlrd2="http://schemas.microsoft.com/office/spreadsheetml/2017/richdata2" ref="B8:H1388">
    <sortCondition ref="E8:E1388"/>
    <sortCondition ref="F8:F1388"/>
    <sortCondition ref="G8:G1388"/>
    <sortCondition ref="B8:B1388"/>
  </sortState>
  <phoneticPr fontId="20" type="noConversion"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52"/>
  <sheetViews>
    <sheetView workbookViewId="0"/>
  </sheetViews>
  <sheetFormatPr defaultRowHeight="15"/>
  <cols>
    <col min="1" max="1" width="10.9140625" customWidth="1"/>
    <col min="2" max="2" width="48.1640625" customWidth="1"/>
    <col min="3" max="3" width="77" customWidth="1"/>
  </cols>
  <sheetData>
    <row r="1" spans="1:3" ht="16.5">
      <c r="A1" s="73" t="s">
        <v>6587</v>
      </c>
      <c r="B1" s="75"/>
      <c r="C1" s="75"/>
    </row>
    <row r="2" spans="1:3" ht="16.5">
      <c r="A2" s="73" t="s">
        <v>6584</v>
      </c>
      <c r="B2" s="73" t="s">
        <v>6585</v>
      </c>
      <c r="C2" s="73" t="s">
        <v>6586</v>
      </c>
    </row>
    <row r="3" spans="1:3">
      <c r="A3" s="79" t="s">
        <v>6674</v>
      </c>
      <c r="B3" s="286" t="s">
        <v>6580</v>
      </c>
      <c r="C3" s="286" t="s">
        <v>6581</v>
      </c>
    </row>
    <row r="4" spans="1:3">
      <c r="A4" s="79" t="s">
        <v>6588</v>
      </c>
      <c r="B4" s="286" t="s">
        <v>6582</v>
      </c>
      <c r="C4" s="286" t="s">
        <v>6583</v>
      </c>
    </row>
    <row r="5" spans="1:3">
      <c r="A5" s="79" t="s">
        <v>6589</v>
      </c>
      <c r="B5" s="286" t="s">
        <v>6078</v>
      </c>
      <c r="C5" s="79" t="s">
        <v>6550</v>
      </c>
    </row>
    <row r="6" spans="1:3">
      <c r="A6" s="79" t="s">
        <v>6590</v>
      </c>
      <c r="B6" s="286" t="s">
        <v>6669</v>
      </c>
      <c r="C6" s="79" t="s">
        <v>6712</v>
      </c>
    </row>
    <row r="7" spans="1:3">
      <c r="A7" s="79" t="s">
        <v>6591</v>
      </c>
      <c r="B7" s="286" t="s">
        <v>6536</v>
      </c>
      <c r="C7" s="79" t="s">
        <v>6551</v>
      </c>
    </row>
    <row r="8" spans="1:3">
      <c r="A8" s="79" t="s">
        <v>6592</v>
      </c>
      <c r="B8" s="286" t="s">
        <v>6070</v>
      </c>
      <c r="C8" s="79" t="s">
        <v>6552</v>
      </c>
    </row>
    <row r="9" spans="1:3">
      <c r="A9" s="79" t="s">
        <v>6593</v>
      </c>
      <c r="B9" s="286" t="s">
        <v>6079</v>
      </c>
      <c r="C9" s="79" t="s">
        <v>6553</v>
      </c>
    </row>
    <row r="10" spans="1:3">
      <c r="A10" s="79" t="s">
        <v>6594</v>
      </c>
      <c r="B10" s="286" t="s">
        <v>6080</v>
      </c>
      <c r="C10" s="79" t="s">
        <v>6554</v>
      </c>
    </row>
    <row r="11" spans="1:3">
      <c r="A11" s="79" t="s">
        <v>6595</v>
      </c>
      <c r="B11" s="286" t="s">
        <v>6081</v>
      </c>
      <c r="C11" s="79" t="s">
        <v>6537</v>
      </c>
    </row>
    <row r="12" spans="1:3">
      <c r="A12" s="79" t="s">
        <v>6596</v>
      </c>
      <c r="B12" s="286" t="s">
        <v>6082</v>
      </c>
      <c r="C12" s="79" t="s">
        <v>6538</v>
      </c>
    </row>
    <row r="13" spans="1:3">
      <c r="A13" s="79" t="s">
        <v>6597</v>
      </c>
      <c r="B13" s="286" t="s">
        <v>6083</v>
      </c>
      <c r="C13" s="79" t="s">
        <v>6539</v>
      </c>
    </row>
    <row r="14" spans="1:3">
      <c r="A14" s="79" t="s">
        <v>6598</v>
      </c>
      <c r="B14" s="286" t="s">
        <v>6146</v>
      </c>
      <c r="C14" s="79" t="s">
        <v>6667</v>
      </c>
    </row>
    <row r="15" spans="1:3">
      <c r="A15" s="79" t="s">
        <v>6599</v>
      </c>
      <c r="B15" s="286" t="s">
        <v>6147</v>
      </c>
      <c r="C15" s="79" t="s">
        <v>6555</v>
      </c>
    </row>
    <row r="16" spans="1:3">
      <c r="A16" s="79" t="s">
        <v>6600</v>
      </c>
      <c r="B16" s="286" t="s">
        <v>6086</v>
      </c>
      <c r="C16" s="79" t="s">
        <v>6556</v>
      </c>
    </row>
    <row r="17" spans="1:3">
      <c r="A17" s="79" t="s">
        <v>6601</v>
      </c>
      <c r="B17" s="286" t="s">
        <v>6148</v>
      </c>
      <c r="C17" s="79" t="s">
        <v>6540</v>
      </c>
    </row>
    <row r="18" spans="1:3">
      <c r="A18" s="79" t="s">
        <v>6602</v>
      </c>
      <c r="B18" s="286" t="s">
        <v>6087</v>
      </c>
      <c r="C18" s="79" t="s">
        <v>6557</v>
      </c>
    </row>
    <row r="19" spans="1:3">
      <c r="A19" s="79" t="s">
        <v>6603</v>
      </c>
      <c r="B19" s="286" t="s">
        <v>6091</v>
      </c>
      <c r="C19" s="79" t="s">
        <v>6558</v>
      </c>
    </row>
    <row r="20" spans="1:3">
      <c r="A20" s="79" t="s">
        <v>6604</v>
      </c>
      <c r="B20" s="286" t="s">
        <v>6092</v>
      </c>
      <c r="C20" s="79" t="s">
        <v>6559</v>
      </c>
    </row>
    <row r="21" spans="1:3">
      <c r="A21" s="79" t="s">
        <v>6605</v>
      </c>
      <c r="B21" s="286" t="s">
        <v>6151</v>
      </c>
      <c r="C21" s="79" t="s">
        <v>6560</v>
      </c>
    </row>
    <row r="22" spans="1:3">
      <c r="A22" s="79" t="s">
        <v>6606</v>
      </c>
      <c r="B22" s="286" t="s">
        <v>6149</v>
      </c>
      <c r="C22" s="79" t="s">
        <v>6561</v>
      </c>
    </row>
    <row r="23" spans="1:3">
      <c r="A23" s="79" t="s">
        <v>6607</v>
      </c>
      <c r="B23" s="286" t="s">
        <v>6100</v>
      </c>
      <c r="C23" s="79" t="s">
        <v>6562</v>
      </c>
    </row>
    <row r="24" spans="1:3">
      <c r="A24" s="79" t="s">
        <v>6608</v>
      </c>
      <c r="B24" s="286" t="s">
        <v>6153</v>
      </c>
      <c r="C24" s="79" t="s">
        <v>6563</v>
      </c>
    </row>
    <row r="25" spans="1:3">
      <c r="A25" s="79" t="s">
        <v>6609</v>
      </c>
      <c r="B25" s="286" t="s">
        <v>6154</v>
      </c>
      <c r="C25" s="79" t="s">
        <v>6541</v>
      </c>
    </row>
    <row r="26" spans="1:3">
      <c r="A26" s="79" t="s">
        <v>6610</v>
      </c>
      <c r="B26" s="286" t="s">
        <v>6155</v>
      </c>
      <c r="C26" s="79" t="s">
        <v>6542</v>
      </c>
    </row>
    <row r="27" spans="1:3">
      <c r="A27" s="79" t="s">
        <v>6611</v>
      </c>
      <c r="B27" s="286" t="s">
        <v>6670</v>
      </c>
      <c r="C27" s="79" t="s">
        <v>6713</v>
      </c>
    </row>
    <row r="28" spans="1:3">
      <c r="A28" s="79" t="s">
        <v>6612</v>
      </c>
      <c r="B28" s="286" t="s">
        <v>6103</v>
      </c>
      <c r="C28" s="79" t="s">
        <v>6564</v>
      </c>
    </row>
    <row r="29" spans="1:3">
      <c r="A29" s="79" t="s">
        <v>6613</v>
      </c>
      <c r="B29" s="286" t="s">
        <v>6106</v>
      </c>
      <c r="C29" s="79" t="s">
        <v>6565</v>
      </c>
    </row>
    <row r="30" spans="1:3">
      <c r="A30" s="79" t="s">
        <v>6614</v>
      </c>
      <c r="B30" s="286" t="s">
        <v>6107</v>
      </c>
      <c r="C30" s="79" t="s">
        <v>6566</v>
      </c>
    </row>
    <row r="31" spans="1:3">
      <c r="A31" s="79" t="s">
        <v>6615</v>
      </c>
      <c r="B31" s="286" t="s">
        <v>6108</v>
      </c>
      <c r="C31" s="79" t="s">
        <v>6567</v>
      </c>
    </row>
    <row r="32" spans="1:3">
      <c r="A32" s="79" t="s">
        <v>6616</v>
      </c>
      <c r="B32" s="286" t="s">
        <v>6109</v>
      </c>
      <c r="C32" s="79" t="s">
        <v>6568</v>
      </c>
    </row>
    <row r="33" spans="1:3">
      <c r="A33" s="79" t="s">
        <v>6617</v>
      </c>
      <c r="B33" s="286" t="s">
        <v>6111</v>
      </c>
      <c r="C33" s="79" t="s">
        <v>6569</v>
      </c>
    </row>
    <row r="34" spans="1:3">
      <c r="A34" s="79" t="s">
        <v>6618</v>
      </c>
      <c r="B34" s="286" t="s">
        <v>6112</v>
      </c>
      <c r="C34" s="79" t="s">
        <v>6570</v>
      </c>
    </row>
    <row r="35" spans="1:3">
      <c r="A35" s="79" t="s">
        <v>6619</v>
      </c>
      <c r="B35" s="286" t="s">
        <v>6115</v>
      </c>
      <c r="C35" s="79" t="s">
        <v>6571</v>
      </c>
    </row>
    <row r="36" spans="1:3">
      <c r="A36" s="79" t="s">
        <v>6620</v>
      </c>
      <c r="B36" s="286" t="s">
        <v>6116</v>
      </c>
      <c r="C36" s="79" t="s">
        <v>6544</v>
      </c>
    </row>
    <row r="37" spans="1:3">
      <c r="A37" s="79" t="s">
        <v>6621</v>
      </c>
      <c r="B37" s="286" t="s">
        <v>6120</v>
      </c>
      <c r="C37" s="79" t="s">
        <v>6572</v>
      </c>
    </row>
    <row r="38" spans="1:3">
      <c r="A38" s="79" t="s">
        <v>6622</v>
      </c>
      <c r="B38" s="286" t="s">
        <v>6156</v>
      </c>
      <c r="C38" s="79" t="s">
        <v>6573</v>
      </c>
    </row>
    <row r="39" spans="1:3">
      <c r="A39" s="79" t="s">
        <v>6623</v>
      </c>
      <c r="B39" s="286" t="s">
        <v>6122</v>
      </c>
      <c r="C39" s="79" t="s">
        <v>6545</v>
      </c>
    </row>
    <row r="40" spans="1:3">
      <c r="A40" s="79" t="s">
        <v>6624</v>
      </c>
      <c r="B40" s="286" t="s">
        <v>6123</v>
      </c>
      <c r="C40" s="79" t="s">
        <v>6546</v>
      </c>
    </row>
    <row r="41" spans="1:3">
      <c r="A41" s="79" t="s">
        <v>6625</v>
      </c>
      <c r="B41" s="286" t="s">
        <v>6671</v>
      </c>
      <c r="C41" s="79" t="s">
        <v>6714</v>
      </c>
    </row>
    <row r="42" spans="1:3">
      <c r="A42" s="79" t="s">
        <v>6626</v>
      </c>
      <c r="B42" s="286" t="s">
        <v>6158</v>
      </c>
      <c r="C42" s="79" t="s">
        <v>6547</v>
      </c>
    </row>
    <row r="43" spans="1:3">
      <c r="A43" s="79" t="s">
        <v>6627</v>
      </c>
      <c r="B43" s="286" t="s">
        <v>6127</v>
      </c>
      <c r="C43" s="79" t="s">
        <v>6574</v>
      </c>
    </row>
    <row r="44" spans="1:3">
      <c r="A44" s="79" t="s">
        <v>6628</v>
      </c>
      <c r="B44" s="286" t="s">
        <v>6128</v>
      </c>
      <c r="C44" s="79" t="s">
        <v>6575</v>
      </c>
    </row>
    <row r="45" spans="1:3">
      <c r="A45" s="79" t="s">
        <v>6629</v>
      </c>
      <c r="B45" s="286" t="s">
        <v>6132</v>
      </c>
      <c r="C45" s="79" t="s">
        <v>6638</v>
      </c>
    </row>
    <row r="46" spans="1:3">
      <c r="A46" s="79" t="s">
        <v>6630</v>
      </c>
      <c r="B46" s="286" t="s">
        <v>6103</v>
      </c>
      <c r="C46" s="79" t="s">
        <v>6543</v>
      </c>
    </row>
    <row r="47" spans="1:3">
      <c r="A47" s="79" t="s">
        <v>6631</v>
      </c>
      <c r="B47" s="286" t="s">
        <v>6134</v>
      </c>
      <c r="C47" s="79" t="s">
        <v>6576</v>
      </c>
    </row>
    <row r="48" spans="1:3">
      <c r="A48" s="79" t="s">
        <v>6632</v>
      </c>
      <c r="B48" s="286" t="s">
        <v>6135</v>
      </c>
      <c r="C48" s="79" t="s">
        <v>6548</v>
      </c>
    </row>
    <row r="49" spans="1:3">
      <c r="A49" s="79" t="s">
        <v>6633</v>
      </c>
      <c r="B49" s="286" t="s">
        <v>6140</v>
      </c>
      <c r="C49" s="79" t="s">
        <v>6549</v>
      </c>
    </row>
    <row r="50" spans="1:3">
      <c r="A50" s="79" t="s">
        <v>6634</v>
      </c>
      <c r="B50" s="286" t="s">
        <v>6141</v>
      </c>
      <c r="C50" s="79" t="s">
        <v>6577</v>
      </c>
    </row>
    <row r="51" spans="1:3">
      <c r="A51" s="79" t="s">
        <v>6635</v>
      </c>
      <c r="B51" s="286" t="s">
        <v>6159</v>
      </c>
      <c r="C51" s="79" t="s">
        <v>6578</v>
      </c>
    </row>
    <row r="52" spans="1:3">
      <c r="A52" s="79" t="s">
        <v>6636</v>
      </c>
      <c r="B52" s="286" t="s">
        <v>6145</v>
      </c>
      <c r="C52" s="79" t="s">
        <v>6579</v>
      </c>
    </row>
  </sheetData>
  <phoneticPr fontId="7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200"/>
  <sheetViews>
    <sheetView workbookViewId="0">
      <selection activeCell="E2" sqref="E2:E21"/>
    </sheetView>
  </sheetViews>
  <sheetFormatPr defaultRowHeight="15"/>
  <cols>
    <col min="1" max="1" width="2.1640625" customWidth="1"/>
    <col min="2" max="2" width="10.1640625" customWidth="1"/>
    <col min="3" max="3" width="28.1640625" customWidth="1"/>
    <col min="4" max="4" width="25" customWidth="1"/>
    <col min="5" max="5" width="68.4140625" style="185" customWidth="1"/>
    <col min="6" max="6" width="24.58203125" customWidth="1"/>
    <col min="11" max="11" width="38.6640625" customWidth="1"/>
  </cols>
  <sheetData>
    <row r="1" spans="1:12">
      <c r="A1" s="942" t="s">
        <v>2285</v>
      </c>
      <c r="B1" s="942"/>
      <c r="D1" s="72" t="s">
        <v>2284</v>
      </c>
      <c r="E1" s="184" t="s">
        <v>2286</v>
      </c>
    </row>
    <row r="2" spans="1:12">
      <c r="A2" s="29" t="s">
        <v>1361</v>
      </c>
      <c r="B2" s="29" t="s">
        <v>1362</v>
      </c>
      <c r="C2" s="81" t="s">
        <v>6728</v>
      </c>
      <c r="D2" s="468" t="s">
        <v>6823</v>
      </c>
      <c r="E2" s="185" t="str">
        <f t="shared" ref="E2:E33" si="0">A2&amp;B2&amp;C2&amp;D2</f>
        <v>=VLOOKUP("迷宮第10層", Data!$B:$D,H1,FALSE)</v>
      </c>
      <c r="K2" t="s">
        <v>1252</v>
      </c>
      <c r="L2" t="s">
        <v>1253</v>
      </c>
    </row>
    <row r="3" spans="1:12">
      <c r="A3" s="29" t="s">
        <v>1361</v>
      </c>
      <c r="B3" s="29" t="s">
        <v>1362</v>
      </c>
      <c r="C3" s="81" t="s">
        <v>6724</v>
      </c>
      <c r="D3" s="468" t="s">
        <v>6825</v>
      </c>
      <c r="E3" s="185" t="str">
        <f t="shared" si="0"/>
        <v>=VLOOKUP("迷宮第6層", Data!$B:$D,H1,FALSE)</v>
      </c>
      <c r="K3" t="s">
        <v>1254</v>
      </c>
      <c r="L3" t="s">
        <v>1255</v>
      </c>
    </row>
    <row r="4" spans="1:12">
      <c r="A4" s="29" t="s">
        <v>1363</v>
      </c>
      <c r="B4" s="29" t="s">
        <v>1364</v>
      </c>
      <c r="C4" s="81" t="s">
        <v>6727</v>
      </c>
      <c r="D4" s="468" t="s">
        <v>6824</v>
      </c>
      <c r="E4" s="185" t="str">
        <f t="shared" si="0"/>
        <v>=VLOOKUP("迷宮第9層", Data!$B:$D,H1,FALSE)</v>
      </c>
      <c r="K4" t="s">
        <v>3</v>
      </c>
      <c r="L4" t="s">
        <v>1256</v>
      </c>
    </row>
    <row r="5" spans="1:12">
      <c r="A5" s="29" t="s">
        <v>1363</v>
      </c>
      <c r="B5" s="29" t="s">
        <v>1364</v>
      </c>
      <c r="C5" s="81" t="s">
        <v>6722</v>
      </c>
      <c r="D5" s="468" t="s">
        <v>6824</v>
      </c>
      <c r="E5" s="185" t="str">
        <f t="shared" si="0"/>
        <v>=VLOOKUP("迷宮第4層", Data!$B:$D,H1,FALSE)</v>
      </c>
      <c r="K5" t="s">
        <v>1257</v>
      </c>
      <c r="L5" t="s">
        <v>1258</v>
      </c>
    </row>
    <row r="6" spans="1:12">
      <c r="A6" s="29" t="s">
        <v>1363</v>
      </c>
      <c r="B6" s="29" t="s">
        <v>1364</v>
      </c>
      <c r="C6" s="81" t="s">
        <v>6722</v>
      </c>
      <c r="D6" s="468" t="s">
        <v>6824</v>
      </c>
      <c r="E6" s="185" t="str">
        <f t="shared" si="0"/>
        <v>=VLOOKUP("迷宮第4層", Data!$B:$D,H1,FALSE)</v>
      </c>
      <c r="K6" t="s">
        <v>1259</v>
      </c>
      <c r="L6" t="s">
        <v>1260</v>
      </c>
    </row>
    <row r="7" spans="1:12">
      <c r="A7" s="29" t="s">
        <v>1363</v>
      </c>
      <c r="B7" s="29" t="s">
        <v>1364</v>
      </c>
      <c r="C7" s="81" t="s">
        <v>6724</v>
      </c>
      <c r="D7" s="468" t="s">
        <v>6824</v>
      </c>
      <c r="E7" s="185" t="str">
        <f t="shared" si="0"/>
        <v>=VLOOKUP("迷宮第6層", Data!$B:$D,H1,FALSE)</v>
      </c>
      <c r="K7" t="s">
        <v>1261</v>
      </c>
      <c r="L7" t="s">
        <v>1262</v>
      </c>
    </row>
    <row r="8" spans="1:12">
      <c r="A8" s="29" t="s">
        <v>1363</v>
      </c>
      <c r="B8" s="29" t="s">
        <v>1364</v>
      </c>
      <c r="C8" s="81" t="s">
        <v>6723</v>
      </c>
      <c r="D8" s="468" t="s">
        <v>6824</v>
      </c>
      <c r="E8" s="185" t="str">
        <f t="shared" si="0"/>
        <v>=VLOOKUP("迷宮第5層", Data!$B:$D,H1,FALSE)</v>
      </c>
      <c r="K8" t="s">
        <v>1252</v>
      </c>
      <c r="L8" t="s">
        <v>1253</v>
      </c>
    </row>
    <row r="9" spans="1:12">
      <c r="A9" s="29" t="s">
        <v>1363</v>
      </c>
      <c r="B9" s="29" t="s">
        <v>1364</v>
      </c>
      <c r="C9" s="81" t="s">
        <v>6842</v>
      </c>
      <c r="D9" s="468" t="s">
        <v>6824</v>
      </c>
      <c r="E9" s="185" t="str">
        <f t="shared" si="0"/>
        <v>=VLOOKUP("迷宮第8層", Data!$B:$D,H1,FALSE)</v>
      </c>
      <c r="K9" t="s">
        <v>1263</v>
      </c>
      <c r="L9" t="s">
        <v>1264</v>
      </c>
    </row>
    <row r="10" spans="1:12">
      <c r="A10" s="29" t="s">
        <v>1363</v>
      </c>
      <c r="B10" s="29" t="s">
        <v>1364</v>
      </c>
      <c r="C10" s="81" t="s">
        <v>6727</v>
      </c>
      <c r="D10" s="468" t="s">
        <v>6824</v>
      </c>
      <c r="E10" s="185" t="str">
        <f t="shared" si="0"/>
        <v>=VLOOKUP("迷宮第9層", Data!$B:$D,H1,FALSE)</v>
      </c>
      <c r="K10" t="s">
        <v>1265</v>
      </c>
      <c r="L10" t="s">
        <v>1266</v>
      </c>
    </row>
    <row r="11" spans="1:12">
      <c r="A11" s="29" t="s">
        <v>1363</v>
      </c>
      <c r="B11" s="29" t="s">
        <v>1364</v>
      </c>
      <c r="C11" s="81" t="s">
        <v>6728</v>
      </c>
      <c r="D11" s="468" t="s">
        <v>6824</v>
      </c>
      <c r="E11" s="185" t="str">
        <f t="shared" si="0"/>
        <v>=VLOOKUP("迷宮第10層", Data!$B:$D,H1,FALSE)</v>
      </c>
      <c r="K11" t="s">
        <v>1267</v>
      </c>
      <c r="L11" t="s">
        <v>1268</v>
      </c>
    </row>
    <row r="12" spans="1:12">
      <c r="A12" s="29" t="s">
        <v>1363</v>
      </c>
      <c r="B12" s="29" t="s">
        <v>1364</v>
      </c>
      <c r="C12" s="81" t="s">
        <v>6721</v>
      </c>
      <c r="D12" s="468" t="s">
        <v>6824</v>
      </c>
      <c r="E12" s="185" t="str">
        <f t="shared" si="0"/>
        <v>=VLOOKUP("迷宮第3層", Data!$B:$D,H1,FALSE)</v>
      </c>
      <c r="K12" t="s">
        <v>1269</v>
      </c>
      <c r="L12" t="s">
        <v>1270</v>
      </c>
    </row>
    <row r="13" spans="1:12">
      <c r="A13" s="29" t="s">
        <v>1363</v>
      </c>
      <c r="B13" s="29" t="s">
        <v>1364</v>
      </c>
      <c r="C13" s="81" t="s">
        <v>6732</v>
      </c>
      <c r="D13" s="468" t="s">
        <v>6824</v>
      </c>
      <c r="E13" s="185" t="str">
        <f t="shared" si="0"/>
        <v>=VLOOKUP("迷宮第14層", Data!$B:$D,H1,FALSE)</v>
      </c>
      <c r="K13" t="s">
        <v>3</v>
      </c>
      <c r="L13" t="s">
        <v>1256</v>
      </c>
    </row>
    <row r="14" spans="1:12">
      <c r="A14" s="29" t="s">
        <v>1363</v>
      </c>
      <c r="B14" s="29" t="s">
        <v>1364</v>
      </c>
      <c r="C14" s="81" t="s">
        <v>6732</v>
      </c>
      <c r="D14" s="468" t="s">
        <v>6824</v>
      </c>
      <c r="E14" s="185" t="str">
        <f t="shared" si="0"/>
        <v>=VLOOKUP("迷宮第14層", Data!$B:$D,H1,FALSE)</v>
      </c>
      <c r="K14" t="s">
        <v>1257</v>
      </c>
      <c r="L14" t="s">
        <v>1258</v>
      </c>
    </row>
    <row r="15" spans="1:12" ht="14.25" customHeight="1">
      <c r="A15" s="29" t="s">
        <v>1363</v>
      </c>
      <c r="B15" s="29" t="s">
        <v>1364</v>
      </c>
      <c r="C15" s="81" t="s">
        <v>6734</v>
      </c>
      <c r="D15" s="468" t="s">
        <v>6824</v>
      </c>
      <c r="E15" s="185" t="str">
        <f t="shared" si="0"/>
        <v>=VLOOKUP("迷宮第16層", Data!$B:$D,H1,FALSE)</v>
      </c>
      <c r="K15" t="s">
        <v>5</v>
      </c>
      <c r="L15" t="s">
        <v>1271</v>
      </c>
    </row>
    <row r="16" spans="1:12">
      <c r="A16" s="29" t="s">
        <v>1363</v>
      </c>
      <c r="B16" s="29" t="s">
        <v>1364</v>
      </c>
      <c r="C16" s="81" t="s">
        <v>6722</v>
      </c>
      <c r="D16" s="468" t="s">
        <v>6824</v>
      </c>
      <c r="E16" s="185" t="str">
        <f t="shared" si="0"/>
        <v>=VLOOKUP("迷宮第4層", Data!$B:$D,H1,FALSE)</v>
      </c>
      <c r="K16" t="s">
        <v>5</v>
      </c>
      <c r="L16" t="s">
        <v>1271</v>
      </c>
    </row>
    <row r="17" spans="1:12">
      <c r="A17" s="29" t="s">
        <v>1363</v>
      </c>
      <c r="B17" s="29" t="s">
        <v>1364</v>
      </c>
      <c r="C17" s="81" t="s">
        <v>6730</v>
      </c>
      <c r="D17" s="468" t="s">
        <v>6824</v>
      </c>
      <c r="E17" s="185" t="str">
        <f t="shared" si="0"/>
        <v>=VLOOKUP("迷宮第12層", Data!$B:$D,H1,FALSE)</v>
      </c>
      <c r="K17" t="s">
        <v>5</v>
      </c>
      <c r="L17" t="s">
        <v>1271</v>
      </c>
    </row>
    <row r="18" spans="1:12">
      <c r="A18" s="29" t="s">
        <v>1363</v>
      </c>
      <c r="B18" s="29" t="s">
        <v>1364</v>
      </c>
      <c r="C18" s="81" t="s">
        <v>6775</v>
      </c>
      <c r="D18" s="468" t="s">
        <v>6824</v>
      </c>
      <c r="E18" s="185" t="str">
        <f t="shared" si="0"/>
        <v>=VLOOKUP("穢邪祭壇", Data!$B:$D,H1,FALSE)</v>
      </c>
      <c r="K18" t="s">
        <v>5</v>
      </c>
      <c r="L18" t="s">
        <v>1271</v>
      </c>
    </row>
    <row r="19" spans="1:12">
      <c r="A19" s="29" t="s">
        <v>1363</v>
      </c>
      <c r="B19" s="29" t="s">
        <v>1364</v>
      </c>
      <c r="C19" s="81" t="s">
        <v>6732</v>
      </c>
      <c r="D19" s="468" t="s">
        <v>6824</v>
      </c>
      <c r="E19" s="185" t="str">
        <f t="shared" si="0"/>
        <v>=VLOOKUP("迷宮第14層", Data!$B:$D,H1,FALSE)</v>
      </c>
      <c r="K19" t="s">
        <v>1272</v>
      </c>
      <c r="L19" t="s">
        <v>1273</v>
      </c>
    </row>
    <row r="20" spans="1:12">
      <c r="A20" s="29" t="s">
        <v>1363</v>
      </c>
      <c r="B20" s="29" t="s">
        <v>1364</v>
      </c>
      <c r="C20" s="81" t="s">
        <v>6728</v>
      </c>
      <c r="D20" s="468" t="s">
        <v>6824</v>
      </c>
      <c r="E20" s="185" t="str">
        <f t="shared" si="0"/>
        <v>=VLOOKUP("迷宮第10層", Data!$B:$D,H1,FALSE)</v>
      </c>
      <c r="K20" t="s">
        <v>1274</v>
      </c>
      <c r="L20" t="s">
        <v>1275</v>
      </c>
    </row>
    <row r="21" spans="1:12" ht="15.5" thickBot="1">
      <c r="A21" s="29" t="s">
        <v>1363</v>
      </c>
      <c r="B21" s="29" t="s">
        <v>1364</v>
      </c>
      <c r="C21" s="87" t="s">
        <v>6720</v>
      </c>
      <c r="D21" s="468" t="s">
        <v>6824</v>
      </c>
      <c r="E21" s="185" t="str">
        <f t="shared" si="0"/>
        <v>=VLOOKUP("迷宮第2層", Data!$B:$D,H1,FALSE)</v>
      </c>
      <c r="K21" t="s">
        <v>1257</v>
      </c>
      <c r="L21" t="s">
        <v>1258</v>
      </c>
    </row>
    <row r="22" spans="1:12">
      <c r="A22" s="29" t="s">
        <v>1363</v>
      </c>
      <c r="B22" s="29" t="s">
        <v>1364</v>
      </c>
      <c r="C22" s="321" t="s">
        <v>3028</v>
      </c>
      <c r="D22" s="468" t="s">
        <v>3905</v>
      </c>
      <c r="E22" s="185" t="str">
        <f t="shared" si="0"/>
        <v>=VLOOKUP("彼列", Data!$B:$D,F1, FALSE)</v>
      </c>
      <c r="K22" s="26" t="s">
        <v>1643</v>
      </c>
      <c r="L22" s="26" t="s">
        <v>1644</v>
      </c>
    </row>
    <row r="23" spans="1:12">
      <c r="A23" s="29" t="s">
        <v>1363</v>
      </c>
      <c r="B23" s="29" t="s">
        <v>1364</v>
      </c>
      <c r="C23" s="321" t="s">
        <v>3010</v>
      </c>
      <c r="D23" s="468" t="s">
        <v>3905</v>
      </c>
      <c r="E23" s="185" t="str">
        <f t="shared" si="0"/>
        <v>=VLOOKUP("擊敗彼列", Data!$B:$D,F1, FALSE)</v>
      </c>
      <c r="K23" t="s">
        <v>1276</v>
      </c>
      <c r="L23" t="s">
        <v>1277</v>
      </c>
    </row>
    <row r="24" spans="1:12">
      <c r="A24" s="29" t="s">
        <v>1363</v>
      </c>
      <c r="B24" s="29" t="s">
        <v>1364</v>
      </c>
      <c r="C24" s="322" t="s">
        <v>3011</v>
      </c>
      <c r="D24" s="468" t="s">
        <v>3905</v>
      </c>
      <c r="E24" s="185" t="str">
        <f t="shared" si="0"/>
        <v>=VLOOKUP("預言", Data!$B:$D,F1, FALSE)</v>
      </c>
      <c r="K24" t="s">
        <v>10</v>
      </c>
      <c r="L24" t="s">
        <v>1278</v>
      </c>
    </row>
    <row r="25" spans="1:12">
      <c r="A25" s="29" t="s">
        <v>1361</v>
      </c>
      <c r="B25" s="29" t="s">
        <v>1362</v>
      </c>
      <c r="C25" s="322" t="s">
        <v>3282</v>
      </c>
      <c r="D25" s="468" t="s">
        <v>3905</v>
      </c>
      <c r="E25" s="185" t="str">
        <f t="shared" si="0"/>
        <v>=VLOOKUP("守護要塞", Data!$B:$D,F1, FALSE)</v>
      </c>
      <c r="K25" t="s">
        <v>30</v>
      </c>
      <c r="L25" t="s">
        <v>1279</v>
      </c>
    </row>
    <row r="26" spans="1:12">
      <c r="A26" s="29" t="s">
        <v>1361</v>
      </c>
      <c r="B26" s="29" t="s">
        <v>1362</v>
      </c>
      <c r="C26" s="322" t="s">
        <v>3012</v>
      </c>
      <c r="D26" s="468" t="s">
        <v>3905</v>
      </c>
      <c r="E26" s="185" t="str">
        <f t="shared" si="0"/>
        <v>=VLOOKUP("可憎的惡魔", Data!$B:$D,F1, FALSE)</v>
      </c>
      <c r="K26" t="s">
        <v>1280</v>
      </c>
      <c r="L26" t="s">
        <v>1281</v>
      </c>
    </row>
    <row r="27" spans="1:12">
      <c r="A27" s="29" t="s">
        <v>1363</v>
      </c>
      <c r="B27" s="29" t="s">
        <v>1364</v>
      </c>
      <c r="C27" s="322" t="s">
        <v>3013</v>
      </c>
      <c r="D27" s="468" t="s">
        <v>3905</v>
      </c>
      <c r="E27" s="185" t="str">
        <f t="shared" si="0"/>
        <v>=VLOOKUP("黑暗的濁氣", Data!$B:$D,F1, FALSE)</v>
      </c>
      <c r="K27" t="s">
        <v>1282</v>
      </c>
      <c r="L27" t="s">
        <v>1283</v>
      </c>
    </row>
    <row r="28" spans="1:12">
      <c r="A28" s="29" t="s">
        <v>1363</v>
      </c>
      <c r="B28" s="29" t="s">
        <v>1364</v>
      </c>
      <c r="C28" s="322" t="s">
        <v>3029</v>
      </c>
      <c r="D28" s="468" t="s">
        <v>3905</v>
      </c>
      <c r="E28" s="185" t="str">
        <f t="shared" si="0"/>
        <v>=VLOOKUP("人生的樂趣", Data!$B:$D,F1, FALSE)</v>
      </c>
      <c r="K28" t="s">
        <v>1284</v>
      </c>
      <c r="L28" t="s">
        <v>1285</v>
      </c>
    </row>
    <row r="29" spans="1:12">
      <c r="A29" s="29" t="s">
        <v>1363</v>
      </c>
      <c r="B29" s="29" t="s">
        <v>1364</v>
      </c>
      <c r="C29" s="322" t="s">
        <v>2902</v>
      </c>
      <c r="D29" s="468" t="s">
        <v>3905</v>
      </c>
      <c r="E29" s="185" t="str">
        <f t="shared" si="0"/>
        <v>=VLOOKUP("黑靈魂石", Data!$B:$D,F1, FALSE)</v>
      </c>
      <c r="K29" t="s">
        <v>1286</v>
      </c>
      <c r="L29" t="s">
        <v>1287</v>
      </c>
    </row>
    <row r="30" spans="1:12">
      <c r="A30" s="29" t="s">
        <v>1363</v>
      </c>
      <c r="B30" s="29" t="s">
        <v>1364</v>
      </c>
      <c r="C30" s="323" t="s">
        <v>3014</v>
      </c>
      <c r="D30" s="468" t="s">
        <v>3905</v>
      </c>
      <c r="E30" s="185" t="str">
        <f t="shared" si="0"/>
        <v>=VLOOKUP("米瑞姆早知道的事", Data!$B:$D,F1, FALSE)</v>
      </c>
      <c r="K30" t="s">
        <v>1286</v>
      </c>
      <c r="L30" t="s">
        <v>1287</v>
      </c>
    </row>
    <row r="31" spans="1:12">
      <c r="A31" s="29" t="s">
        <v>1363</v>
      </c>
      <c r="B31" s="29" t="s">
        <v>1364</v>
      </c>
      <c r="C31" s="323" t="s">
        <v>3030</v>
      </c>
      <c r="D31" s="468" t="s">
        <v>3905</v>
      </c>
      <c r="E31" s="185" t="str">
        <f t="shared" si="0"/>
        <v>=VLOOKUP("受困的大天使", Data!$B:$D,F1, FALSE)</v>
      </c>
      <c r="K31" t="s">
        <v>30</v>
      </c>
      <c r="L31" t="s">
        <v>1279</v>
      </c>
    </row>
    <row r="32" spans="1:12">
      <c r="A32" s="29" t="s">
        <v>1363</v>
      </c>
      <c r="B32" s="29" t="s">
        <v>1364</v>
      </c>
      <c r="C32" s="323" t="s">
        <v>3015</v>
      </c>
      <c r="D32" s="468" t="s">
        <v>3905</v>
      </c>
      <c r="E32" s="185" t="str">
        <f t="shared" si="0"/>
        <v>=VLOOKUP("命運卷軸", Data!$B:$D,F1, FALSE)</v>
      </c>
      <c r="K32" t="s">
        <v>1276</v>
      </c>
      <c r="L32" t="s">
        <v>1277</v>
      </c>
    </row>
    <row r="33" spans="1:12">
      <c r="A33" s="29" t="s">
        <v>1363</v>
      </c>
      <c r="B33" s="29" t="s">
        <v>1364</v>
      </c>
      <c r="C33" s="323" t="s">
        <v>3016</v>
      </c>
      <c r="D33" s="468" t="s">
        <v>3905</v>
      </c>
      <c r="E33" s="185" t="str">
        <f t="shared" si="0"/>
        <v>=VLOOKUP("凡人與天使", Data!$B:$D,F1, FALSE)</v>
      </c>
      <c r="K33" t="s">
        <v>1276</v>
      </c>
      <c r="L33" t="s">
        <v>1277</v>
      </c>
    </row>
    <row r="34" spans="1:12">
      <c r="A34" s="29" t="s">
        <v>1363</v>
      </c>
      <c r="B34" s="29" t="s">
        <v>1364</v>
      </c>
      <c r="C34" s="324" t="s">
        <v>3594</v>
      </c>
      <c r="D34" s="468" t="s">
        <v>3905</v>
      </c>
      <c r="E34" s="185" t="str">
        <f t="shared" ref="E34:E65" si="1">A34&amp;B34&amp;C34&amp;D34</f>
        <v>=VLOOKUP("谈谈你自己", Data!$B:$D,F1, FALSE)</v>
      </c>
      <c r="K34" t="s">
        <v>13</v>
      </c>
      <c r="L34" t="s">
        <v>1288</v>
      </c>
    </row>
    <row r="35" spans="1:12">
      <c r="A35" s="29" t="s">
        <v>1363</v>
      </c>
      <c r="B35" s="29" t="s">
        <v>1364</v>
      </c>
      <c r="C35" s="312" t="s">
        <v>3017</v>
      </c>
      <c r="D35" s="468" t="s">
        <v>3905</v>
      </c>
      <c r="E35" s="185" t="str">
        <f t="shared" si="1"/>
        <v>=VLOOKUP("更多米瑞姆的事", Data!$B:$D,F1, FALSE)</v>
      </c>
      <c r="K35" t="s">
        <v>1280</v>
      </c>
      <c r="L35" t="s">
        <v>1281</v>
      </c>
    </row>
    <row r="36" spans="1:12">
      <c r="A36" s="29" t="s">
        <v>1363</v>
      </c>
      <c r="B36" s="29" t="s">
        <v>1364</v>
      </c>
      <c r="C36" s="312" t="s">
        <v>3031</v>
      </c>
      <c r="D36" s="468" t="s">
        <v>3905</v>
      </c>
      <c r="E36" s="185" t="str">
        <f t="shared" si="1"/>
        <v>=VLOOKUP("故事", Data!$B:$D,F1, FALSE)</v>
      </c>
      <c r="K36" t="s">
        <v>14</v>
      </c>
      <c r="L36" t="s">
        <v>1289</v>
      </c>
    </row>
    <row r="37" spans="1:12" ht="14.25" customHeight="1">
      <c r="A37" s="29" t="s">
        <v>1363</v>
      </c>
      <c r="B37" s="29" t="s">
        <v>1364</v>
      </c>
      <c r="C37" s="312" t="s">
        <v>3596</v>
      </c>
      <c r="D37" s="468" t="s">
        <v>3905</v>
      </c>
      <c r="E37" s="185" t="str">
        <f t="shared" si="1"/>
        <v>=VLOOKUP("厄傑爾的所在", Data!$B:$D,F1, FALSE)</v>
      </c>
      <c r="K37" t="s">
        <v>14</v>
      </c>
      <c r="L37" t="s">
        <v>1289</v>
      </c>
    </row>
    <row r="38" spans="1:12">
      <c r="A38" s="29" t="s">
        <v>1363</v>
      </c>
      <c r="B38" s="29" t="s">
        <v>1364</v>
      </c>
      <c r="C38" s="312" t="s">
        <v>3598</v>
      </c>
      <c r="D38" s="468" t="s">
        <v>3905</v>
      </c>
      <c r="E38" s="185" t="str">
        <f t="shared" si="1"/>
        <v>=VLOOKUP("尋找愛德莉雅", Data!$B:$D,F1, FALSE)</v>
      </c>
      <c r="K38" t="s">
        <v>14</v>
      </c>
      <c r="L38" t="s">
        <v>1289</v>
      </c>
    </row>
    <row r="39" spans="1:12">
      <c r="A39" s="29" t="s">
        <v>1363</v>
      </c>
      <c r="B39" s="29" t="s">
        <v>1364</v>
      </c>
      <c r="C39" s="312" t="s">
        <v>3020</v>
      </c>
      <c r="D39" s="468" t="s">
        <v>3905</v>
      </c>
      <c r="E39" s="185" t="str">
        <f t="shared" si="1"/>
        <v>=VLOOKUP("米瑞姆的驚喜", Data!$B:$D,F1, FALSE)</v>
      </c>
      <c r="K39" t="s">
        <v>14</v>
      </c>
      <c r="L39" t="s">
        <v>1289</v>
      </c>
    </row>
    <row r="40" spans="1:12">
      <c r="A40" s="29" t="s">
        <v>1363</v>
      </c>
      <c r="B40" s="29" t="s">
        <v>1364</v>
      </c>
      <c r="C40" s="312" t="s">
        <v>3032</v>
      </c>
      <c r="D40" s="468" t="s">
        <v>3905</v>
      </c>
      <c r="E40" s="185" t="str">
        <f t="shared" si="1"/>
        <v>=VLOOKUP("混沌界", Data!$B:$D,F1, FALSE)</v>
      </c>
      <c r="K40" t="s">
        <v>1290</v>
      </c>
      <c r="L40" t="s">
        <v>1291</v>
      </c>
    </row>
    <row r="41" spans="1:12" ht="15.5" thickBot="1">
      <c r="A41" s="29" t="s">
        <v>1363</v>
      </c>
      <c r="B41" s="29" t="s">
        <v>1364</v>
      </c>
      <c r="C41" s="313" t="s">
        <v>3021</v>
      </c>
      <c r="D41" s="468" t="s">
        <v>3905</v>
      </c>
      <c r="E41" s="185" t="str">
        <f t="shared" si="1"/>
        <v>=VLOOKUP("英普瑞斯", Data!$B:$D,F1, FALSE)</v>
      </c>
      <c r="K41" t="s">
        <v>1292</v>
      </c>
      <c r="L41" t="s">
        <v>1293</v>
      </c>
    </row>
    <row r="42" spans="1:12">
      <c r="A42" s="29" t="s">
        <v>1363</v>
      </c>
      <c r="B42" s="29" t="s">
        <v>1364</v>
      </c>
      <c r="C42" s="21"/>
      <c r="D42" s="468" t="s">
        <v>3905</v>
      </c>
      <c r="E42" s="185" t="str">
        <f t="shared" si="1"/>
        <v>=VLOOKUP("", Data!$B:$D,F1, FALSE)</v>
      </c>
      <c r="K42" t="s">
        <v>1284</v>
      </c>
      <c r="L42" t="s">
        <v>1285</v>
      </c>
    </row>
    <row r="43" spans="1:12">
      <c r="A43" s="29" t="s">
        <v>1363</v>
      </c>
      <c r="B43" s="29" t="s">
        <v>1364</v>
      </c>
      <c r="C43" s="21"/>
      <c r="D43" s="468" t="s">
        <v>3905</v>
      </c>
      <c r="E43" s="185" t="str">
        <f t="shared" si="1"/>
        <v>=VLOOKUP("", Data!$B:$D,F1, FALSE)</v>
      </c>
      <c r="K43" t="s">
        <v>16</v>
      </c>
      <c r="L43" t="s">
        <v>1294</v>
      </c>
    </row>
    <row r="44" spans="1:12">
      <c r="A44" s="29" t="s">
        <v>1363</v>
      </c>
      <c r="B44" s="29" t="s">
        <v>1364</v>
      </c>
      <c r="C44" s="21"/>
      <c r="D44" s="468" t="s">
        <v>3905</v>
      </c>
      <c r="E44" s="185" t="str">
        <f t="shared" si="1"/>
        <v>=VLOOKUP("", Data!$B:$D,F1, FALSE)</v>
      </c>
      <c r="K44" s="26" t="s">
        <v>1645</v>
      </c>
      <c r="L44" s="26" t="s">
        <v>1646</v>
      </c>
    </row>
    <row r="45" spans="1:12">
      <c r="A45" s="29" t="s">
        <v>1363</v>
      </c>
      <c r="B45" s="29" t="s">
        <v>1364</v>
      </c>
      <c r="C45" s="21"/>
      <c r="D45" s="468" t="s">
        <v>3905</v>
      </c>
      <c r="E45" s="185" t="str">
        <f t="shared" si="1"/>
        <v>=VLOOKUP("", Data!$B:$D,F1, FALSE)</v>
      </c>
      <c r="K45" t="s">
        <v>16</v>
      </c>
      <c r="L45" t="s">
        <v>1294</v>
      </c>
    </row>
    <row r="46" spans="1:12">
      <c r="A46" s="29" t="s">
        <v>1363</v>
      </c>
      <c r="B46" s="29" t="s">
        <v>1364</v>
      </c>
      <c r="C46" s="21"/>
      <c r="D46" s="468" t="s">
        <v>3905</v>
      </c>
      <c r="E46" s="185" t="str">
        <f t="shared" si="1"/>
        <v>=VLOOKUP("", Data!$B:$D,F1, FALSE)</v>
      </c>
      <c r="K46" t="s">
        <v>16</v>
      </c>
      <c r="L46" t="s">
        <v>1294</v>
      </c>
    </row>
    <row r="47" spans="1:12">
      <c r="A47" s="29" t="s">
        <v>1363</v>
      </c>
      <c r="B47" s="29" t="s">
        <v>1364</v>
      </c>
      <c r="C47" s="21"/>
      <c r="D47" s="468" t="s">
        <v>3905</v>
      </c>
      <c r="E47" s="185" t="str">
        <f t="shared" si="1"/>
        <v>=VLOOKUP("", Data!$B:$D,F1, FALSE)</v>
      </c>
      <c r="K47" t="s">
        <v>1296</v>
      </c>
      <c r="L47" t="s">
        <v>1297</v>
      </c>
    </row>
    <row r="48" spans="1:12">
      <c r="A48" s="29" t="s">
        <v>1361</v>
      </c>
      <c r="B48" s="29" t="s">
        <v>1362</v>
      </c>
      <c r="C48" s="21"/>
      <c r="D48" s="468" t="s">
        <v>3905</v>
      </c>
      <c r="E48" s="185" t="str">
        <f t="shared" si="1"/>
        <v>=VLOOKUP("", Data!$B:$D,F1, FALSE)</v>
      </c>
      <c r="K48" t="s">
        <v>1298</v>
      </c>
      <c r="L48" t="s">
        <v>1299</v>
      </c>
    </row>
    <row r="49" spans="1:12">
      <c r="A49" s="29" t="s">
        <v>1361</v>
      </c>
      <c r="B49" s="29" t="s">
        <v>1362</v>
      </c>
      <c r="C49" s="21"/>
      <c r="D49" s="468" t="s">
        <v>3905</v>
      </c>
      <c r="E49" s="185" t="str">
        <f t="shared" si="1"/>
        <v>=VLOOKUP("", Data!$B:$D,F1, FALSE)</v>
      </c>
      <c r="K49" t="s">
        <v>1300</v>
      </c>
      <c r="L49" t="s">
        <v>1301</v>
      </c>
    </row>
    <row r="50" spans="1:12">
      <c r="A50" s="29" t="s">
        <v>1363</v>
      </c>
      <c r="B50" s="29" t="s">
        <v>1364</v>
      </c>
      <c r="C50" s="21"/>
      <c r="D50" s="468" t="s">
        <v>3905</v>
      </c>
      <c r="E50" s="185" t="str">
        <f t="shared" si="1"/>
        <v>=VLOOKUP("", Data!$B:$D,F1, FALSE)</v>
      </c>
      <c r="K50" t="s">
        <v>1300</v>
      </c>
      <c r="L50" t="s">
        <v>1301</v>
      </c>
    </row>
    <row r="51" spans="1:12">
      <c r="A51" s="29" t="s">
        <v>1363</v>
      </c>
      <c r="B51" s="29" t="s">
        <v>1364</v>
      </c>
      <c r="C51" s="21"/>
      <c r="D51" s="468" t="s">
        <v>3905</v>
      </c>
      <c r="E51" s="185" t="str">
        <f t="shared" si="1"/>
        <v>=VLOOKUP("", Data!$B:$D,F1, FALSE)</v>
      </c>
      <c r="K51" t="s">
        <v>1302</v>
      </c>
      <c r="L51" t="s">
        <v>1303</v>
      </c>
    </row>
    <row r="52" spans="1:12">
      <c r="A52" s="29" t="s">
        <v>1363</v>
      </c>
      <c r="B52" s="29" t="s">
        <v>1364</v>
      </c>
      <c r="C52" s="21"/>
      <c r="D52" s="468" t="s">
        <v>3905</v>
      </c>
      <c r="E52" s="185" t="str">
        <f t="shared" si="1"/>
        <v>=VLOOKUP("", Data!$B:$D,F1, FALSE)</v>
      </c>
      <c r="K52" t="s">
        <v>1304</v>
      </c>
      <c r="L52" t="s">
        <v>1305</v>
      </c>
    </row>
    <row r="53" spans="1:12">
      <c r="A53" s="29" t="s">
        <v>1363</v>
      </c>
      <c r="B53" s="29" t="s">
        <v>1364</v>
      </c>
      <c r="C53" s="21"/>
      <c r="D53" s="468" t="s">
        <v>3905</v>
      </c>
      <c r="E53" s="185" t="str">
        <f t="shared" si="1"/>
        <v>=VLOOKUP("", Data!$B:$D,F1, FALSE)</v>
      </c>
      <c r="K53" t="s">
        <v>1306</v>
      </c>
      <c r="L53" t="s">
        <v>1307</v>
      </c>
    </row>
    <row r="54" spans="1:12" ht="15.5" thickBot="1">
      <c r="A54" s="29" t="s">
        <v>1363</v>
      </c>
      <c r="B54" s="29" t="s">
        <v>1364</v>
      </c>
      <c r="C54" s="22"/>
      <c r="D54" s="468" t="s">
        <v>3905</v>
      </c>
      <c r="E54" s="185" t="str">
        <f t="shared" si="1"/>
        <v>=VLOOKUP("", Data!$B:$D,F1, FALSE)</v>
      </c>
      <c r="K54" t="s">
        <v>1308</v>
      </c>
      <c r="L54" t="s">
        <v>1309</v>
      </c>
    </row>
    <row r="55" spans="1:12">
      <c r="A55" s="29" t="s">
        <v>1363</v>
      </c>
      <c r="B55" s="29" t="s">
        <v>1364</v>
      </c>
      <c r="D55" s="468" t="s">
        <v>3905</v>
      </c>
      <c r="E55" s="185" t="str">
        <f t="shared" si="1"/>
        <v>=VLOOKUP("", Data!$B:$D,F1, FALSE)</v>
      </c>
      <c r="K55" t="s">
        <v>1310</v>
      </c>
      <c r="L55" t="s">
        <v>1311</v>
      </c>
    </row>
    <row r="56" spans="1:12">
      <c r="A56" s="29" t="s">
        <v>1363</v>
      </c>
      <c r="B56" s="29" t="s">
        <v>1364</v>
      </c>
      <c r="C56" s="44"/>
      <c r="D56" s="468" t="s">
        <v>3905</v>
      </c>
      <c r="E56" s="185" t="str">
        <f t="shared" si="1"/>
        <v>=VLOOKUP("", Data!$B:$D,F1, FALSE)</v>
      </c>
      <c r="K56" t="s">
        <v>1306</v>
      </c>
      <c r="L56" t="s">
        <v>1307</v>
      </c>
    </row>
    <row r="57" spans="1:12">
      <c r="A57" s="29" t="s">
        <v>1363</v>
      </c>
      <c r="B57" s="29" t="s">
        <v>1364</v>
      </c>
      <c r="C57" s="44"/>
      <c r="D57" s="468" t="s">
        <v>3905</v>
      </c>
      <c r="E57" s="185" t="str">
        <f t="shared" si="1"/>
        <v>=VLOOKUP("", Data!$B:$D,F1, FALSE)</v>
      </c>
      <c r="K57" t="s">
        <v>1312</v>
      </c>
      <c r="L57" t="s">
        <v>1313</v>
      </c>
    </row>
    <row r="58" spans="1:12">
      <c r="A58" s="29" t="s">
        <v>1363</v>
      </c>
      <c r="B58" s="29" t="s">
        <v>1364</v>
      </c>
      <c r="C58" s="44"/>
      <c r="D58" s="468" t="s">
        <v>3905</v>
      </c>
      <c r="E58" s="185" t="str">
        <f t="shared" si="1"/>
        <v>=VLOOKUP("", Data!$B:$D,F1, FALSE)</v>
      </c>
      <c r="K58" t="s">
        <v>1302</v>
      </c>
      <c r="L58" t="s">
        <v>1303</v>
      </c>
    </row>
    <row r="59" spans="1:12">
      <c r="A59" s="29" t="s">
        <v>1363</v>
      </c>
      <c r="B59" s="29" t="s">
        <v>1364</v>
      </c>
      <c r="C59" s="44"/>
      <c r="D59" s="468" t="s">
        <v>3905</v>
      </c>
      <c r="E59" s="185" t="str">
        <f t="shared" si="1"/>
        <v>=VLOOKUP("", Data!$B:$D,F1, FALSE)</v>
      </c>
      <c r="K59" t="s">
        <v>1296</v>
      </c>
      <c r="L59" t="s">
        <v>1297</v>
      </c>
    </row>
    <row r="60" spans="1:12">
      <c r="A60" s="29" t="s">
        <v>1363</v>
      </c>
      <c r="B60" s="29" t="s">
        <v>1364</v>
      </c>
      <c r="C60" s="44"/>
      <c r="D60" s="468" t="s">
        <v>3905</v>
      </c>
      <c r="E60" s="185" t="str">
        <f t="shared" si="1"/>
        <v>=VLOOKUP("", Data!$B:$D,F1, FALSE)</v>
      </c>
      <c r="K60" t="s">
        <v>1470</v>
      </c>
      <c r="L60" t="s">
        <v>1314</v>
      </c>
    </row>
    <row r="61" spans="1:12">
      <c r="A61" s="29" t="s">
        <v>1363</v>
      </c>
      <c r="B61" s="29" t="s">
        <v>1364</v>
      </c>
      <c r="C61" s="44"/>
      <c r="D61" s="468" t="s">
        <v>3905</v>
      </c>
      <c r="E61" s="185" t="str">
        <f t="shared" si="1"/>
        <v>=VLOOKUP("", Data!$B:$D,F1, FALSE)</v>
      </c>
      <c r="K61" t="s">
        <v>1315</v>
      </c>
      <c r="L61" t="s">
        <v>1316</v>
      </c>
    </row>
    <row r="62" spans="1:12">
      <c r="A62" s="29" t="s">
        <v>1363</v>
      </c>
      <c r="B62" s="29" t="s">
        <v>1364</v>
      </c>
      <c r="C62" s="44"/>
      <c r="D62" s="468" t="s">
        <v>3905</v>
      </c>
      <c r="E62" s="185" t="str">
        <f t="shared" si="1"/>
        <v>=VLOOKUP("", Data!$B:$D,F1, FALSE)</v>
      </c>
      <c r="K62" t="s">
        <v>1317</v>
      </c>
      <c r="L62" t="s">
        <v>1318</v>
      </c>
    </row>
    <row r="63" spans="1:12">
      <c r="A63" s="29" t="s">
        <v>1363</v>
      </c>
      <c r="B63" s="29" t="s">
        <v>1364</v>
      </c>
      <c r="C63" s="44"/>
      <c r="D63" s="468" t="s">
        <v>3905</v>
      </c>
      <c r="E63" s="185" t="str">
        <f t="shared" si="1"/>
        <v>=VLOOKUP("", Data!$B:$D,F1, FALSE)</v>
      </c>
      <c r="K63" t="s">
        <v>1306</v>
      </c>
      <c r="L63" t="s">
        <v>1307</v>
      </c>
    </row>
    <row r="64" spans="1:12">
      <c r="A64" s="29" t="s">
        <v>1363</v>
      </c>
      <c r="B64" s="29" t="s">
        <v>1364</v>
      </c>
      <c r="C64" s="44"/>
      <c r="D64" s="468" t="s">
        <v>3905</v>
      </c>
      <c r="E64" s="185" t="str">
        <f t="shared" si="1"/>
        <v>=VLOOKUP("", Data!$B:$D,F1, FALSE)</v>
      </c>
      <c r="K64" t="s">
        <v>1319</v>
      </c>
      <c r="L64" t="s">
        <v>1320</v>
      </c>
    </row>
    <row r="65" spans="1:12">
      <c r="A65" s="29" t="s">
        <v>1363</v>
      </c>
      <c r="B65" s="29" t="s">
        <v>1364</v>
      </c>
      <c r="C65" s="44"/>
      <c r="D65" s="468" t="s">
        <v>3905</v>
      </c>
      <c r="E65" s="185" t="str">
        <f t="shared" si="1"/>
        <v>=VLOOKUP("", Data!$B:$D,F1, FALSE)</v>
      </c>
      <c r="K65" t="s">
        <v>1312</v>
      </c>
      <c r="L65" t="s">
        <v>1313</v>
      </c>
    </row>
    <row r="66" spans="1:12">
      <c r="A66" s="29" t="s">
        <v>1363</v>
      </c>
      <c r="B66" s="29" t="s">
        <v>1364</v>
      </c>
      <c r="C66" s="44"/>
      <c r="D66" s="468" t="s">
        <v>3905</v>
      </c>
      <c r="E66" s="185" t="str">
        <f t="shared" ref="E66:E97" si="2">A66&amp;B66&amp;C66&amp;D66</f>
        <v>=VLOOKUP("", Data!$B:$D,F1, FALSE)</v>
      </c>
      <c r="K66" t="s">
        <v>1321</v>
      </c>
      <c r="L66" t="s">
        <v>1322</v>
      </c>
    </row>
    <row r="67" spans="1:12">
      <c r="A67" s="29" t="s">
        <v>1363</v>
      </c>
      <c r="B67" s="29" t="s">
        <v>1364</v>
      </c>
      <c r="C67" s="44"/>
      <c r="D67" s="468" t="s">
        <v>3905</v>
      </c>
      <c r="E67" s="185" t="str">
        <f t="shared" si="2"/>
        <v>=VLOOKUP("", Data!$B:$D,F1, FALSE)</v>
      </c>
      <c r="K67" t="s">
        <v>1312</v>
      </c>
      <c r="L67" t="s">
        <v>1313</v>
      </c>
    </row>
    <row r="68" spans="1:12">
      <c r="A68" s="29" t="s">
        <v>1363</v>
      </c>
      <c r="B68" s="29" t="s">
        <v>1364</v>
      </c>
      <c r="C68" s="44"/>
      <c r="D68" s="468" t="s">
        <v>3905</v>
      </c>
      <c r="E68" s="185" t="str">
        <f t="shared" si="2"/>
        <v>=VLOOKUP("", Data!$B:$D,F1, FALSE)</v>
      </c>
      <c r="K68" t="s">
        <v>1321</v>
      </c>
      <c r="L68" t="s">
        <v>1322</v>
      </c>
    </row>
    <row r="69" spans="1:12">
      <c r="A69" s="29" t="s">
        <v>1363</v>
      </c>
      <c r="B69" s="29" t="s">
        <v>1364</v>
      </c>
      <c r="C69" s="44"/>
      <c r="D69" s="468" t="s">
        <v>3905</v>
      </c>
      <c r="E69" s="185" t="str">
        <f t="shared" si="2"/>
        <v>=VLOOKUP("", Data!$B:$D,F1, FALSE)</v>
      </c>
      <c r="K69" t="s">
        <v>1310</v>
      </c>
      <c r="L69" t="s">
        <v>1311</v>
      </c>
    </row>
    <row r="70" spans="1:12">
      <c r="A70" s="29" t="s">
        <v>1363</v>
      </c>
      <c r="B70" s="29" t="s">
        <v>1364</v>
      </c>
      <c r="C70" s="44"/>
      <c r="D70" s="468" t="s">
        <v>3905</v>
      </c>
      <c r="E70" s="185" t="str">
        <f t="shared" si="2"/>
        <v>=VLOOKUP("", Data!$B:$D,F1, FALSE)</v>
      </c>
      <c r="K70" t="s">
        <v>1300</v>
      </c>
      <c r="L70" t="s">
        <v>1301</v>
      </c>
    </row>
    <row r="71" spans="1:12">
      <c r="A71" s="29" t="s">
        <v>1361</v>
      </c>
      <c r="B71" s="29" t="s">
        <v>1362</v>
      </c>
      <c r="C71" s="44"/>
      <c r="D71" s="468" t="s">
        <v>3905</v>
      </c>
      <c r="E71" s="185" t="str">
        <f t="shared" si="2"/>
        <v>=VLOOKUP("", Data!$B:$D,F1, FALSE)</v>
      </c>
      <c r="K71" t="s">
        <v>1323</v>
      </c>
      <c r="L71" t="s">
        <v>1324</v>
      </c>
    </row>
    <row r="72" spans="1:12">
      <c r="A72" s="29" t="s">
        <v>1361</v>
      </c>
      <c r="B72" s="29" t="s">
        <v>1362</v>
      </c>
      <c r="C72" s="44"/>
      <c r="D72" s="468" t="s">
        <v>3905</v>
      </c>
      <c r="E72" s="185" t="str">
        <f t="shared" si="2"/>
        <v>=VLOOKUP("", Data!$B:$D,F1, FALSE)</v>
      </c>
      <c r="K72" t="s">
        <v>1296</v>
      </c>
      <c r="L72" t="s">
        <v>1297</v>
      </c>
    </row>
    <row r="73" spans="1:12">
      <c r="A73" s="29" t="s">
        <v>1363</v>
      </c>
      <c r="B73" s="29" t="s">
        <v>1364</v>
      </c>
      <c r="C73" s="44"/>
      <c r="D73" s="468" t="s">
        <v>3905</v>
      </c>
      <c r="E73" s="185" t="str">
        <f t="shared" si="2"/>
        <v>=VLOOKUP("", Data!$B:$D,F1, FALSE)</v>
      </c>
      <c r="K73" t="s">
        <v>1298</v>
      </c>
      <c r="L73" t="s">
        <v>1299</v>
      </c>
    </row>
    <row r="74" spans="1:12">
      <c r="A74" s="29" t="s">
        <v>1363</v>
      </c>
      <c r="B74" s="29" t="s">
        <v>1364</v>
      </c>
      <c r="D74" s="468" t="s">
        <v>3905</v>
      </c>
      <c r="E74" s="185" t="str">
        <f t="shared" si="2"/>
        <v>=VLOOKUP("", Data!$B:$D,F1, FALSE)</v>
      </c>
      <c r="K74" t="s">
        <v>2</v>
      </c>
      <c r="L74" t="s">
        <v>1325</v>
      </c>
    </row>
    <row r="75" spans="1:12">
      <c r="A75" s="29" t="s">
        <v>1363</v>
      </c>
      <c r="B75" s="29" t="s">
        <v>1364</v>
      </c>
      <c r="D75" s="468" t="s">
        <v>3905</v>
      </c>
      <c r="E75" s="185" t="str">
        <f t="shared" si="2"/>
        <v>=VLOOKUP("", Data!$B:$D,F1, FALSE)</v>
      </c>
      <c r="K75" t="s">
        <v>1326</v>
      </c>
      <c r="L75" t="s">
        <v>1327</v>
      </c>
    </row>
    <row r="76" spans="1:12">
      <c r="A76" s="29" t="s">
        <v>1363</v>
      </c>
      <c r="B76" s="29" t="s">
        <v>1364</v>
      </c>
      <c r="D76" s="468" t="s">
        <v>3905</v>
      </c>
      <c r="E76" s="185" t="str">
        <f t="shared" si="2"/>
        <v>=VLOOKUP("", Data!$B:$D,F1, FALSE)</v>
      </c>
      <c r="K76" t="s">
        <v>1326</v>
      </c>
      <c r="L76" t="s">
        <v>1327</v>
      </c>
    </row>
    <row r="77" spans="1:12">
      <c r="A77" s="29" t="s">
        <v>1363</v>
      </c>
      <c r="B77" s="29" t="s">
        <v>1364</v>
      </c>
      <c r="D77" s="468" t="s">
        <v>3905</v>
      </c>
      <c r="E77" s="185" t="str">
        <f t="shared" si="2"/>
        <v>=VLOOKUP("", Data!$B:$D,F1, FALSE)</v>
      </c>
      <c r="K77" t="s">
        <v>24</v>
      </c>
      <c r="L77" t="s">
        <v>1328</v>
      </c>
    </row>
    <row r="78" spans="1:12">
      <c r="A78" s="29" t="s">
        <v>1363</v>
      </c>
      <c r="B78" s="29" t="s">
        <v>1364</v>
      </c>
      <c r="D78" s="468" t="s">
        <v>3905</v>
      </c>
      <c r="E78" s="185" t="str">
        <f t="shared" si="2"/>
        <v>=VLOOKUP("", Data!$B:$D,F1, FALSE)</v>
      </c>
      <c r="K78" t="s">
        <v>24</v>
      </c>
      <c r="L78" t="s">
        <v>1328</v>
      </c>
    </row>
    <row r="79" spans="1:12">
      <c r="A79" s="29" t="s">
        <v>1363</v>
      </c>
      <c r="B79" s="29" t="s">
        <v>1364</v>
      </c>
      <c r="D79" s="468" t="s">
        <v>3905</v>
      </c>
      <c r="E79" s="185" t="str">
        <f t="shared" si="2"/>
        <v>=VLOOKUP("", Data!$B:$D,F1, FALSE)</v>
      </c>
      <c r="K79" t="s">
        <v>1326</v>
      </c>
      <c r="L79" t="s">
        <v>1327</v>
      </c>
    </row>
    <row r="80" spans="1:12">
      <c r="A80" s="29" t="s">
        <v>1363</v>
      </c>
      <c r="B80" s="29" t="s">
        <v>1364</v>
      </c>
      <c r="D80" s="468" t="s">
        <v>3905</v>
      </c>
      <c r="E80" s="185" t="str">
        <f t="shared" si="2"/>
        <v>=VLOOKUP("", Data!$B:$D,F1, FALSE)</v>
      </c>
      <c r="K80" t="s">
        <v>2</v>
      </c>
      <c r="L80" t="s">
        <v>1325</v>
      </c>
    </row>
    <row r="81" spans="1:12">
      <c r="A81" s="29" t="s">
        <v>1363</v>
      </c>
      <c r="B81" s="29" t="s">
        <v>1364</v>
      </c>
      <c r="D81" s="468" t="s">
        <v>3905</v>
      </c>
      <c r="E81" s="185" t="str">
        <f t="shared" si="2"/>
        <v>=VLOOKUP("", Data!$B:$D,F1, FALSE)</v>
      </c>
      <c r="K81" t="s">
        <v>24</v>
      </c>
      <c r="L81" t="s">
        <v>1328</v>
      </c>
    </row>
    <row r="82" spans="1:12">
      <c r="A82" s="29" t="s">
        <v>1363</v>
      </c>
      <c r="B82" s="29" t="s">
        <v>1364</v>
      </c>
      <c r="D82" s="468" t="s">
        <v>3905</v>
      </c>
      <c r="E82" s="185" t="str">
        <f t="shared" si="2"/>
        <v>=VLOOKUP("", Data!$B:$D,F1, FALSE)</v>
      </c>
      <c r="K82" t="s">
        <v>24</v>
      </c>
      <c r="L82" t="s">
        <v>1328</v>
      </c>
    </row>
    <row r="83" spans="1:12">
      <c r="A83" s="29" t="s">
        <v>1363</v>
      </c>
      <c r="B83" s="29" t="s">
        <v>1364</v>
      </c>
      <c r="D83" s="468" t="s">
        <v>3905</v>
      </c>
      <c r="E83" s="185" t="str">
        <f t="shared" si="2"/>
        <v>=VLOOKUP("", Data!$B:$D,F1, FALSE)</v>
      </c>
      <c r="K83" t="s">
        <v>2</v>
      </c>
      <c r="L83" t="s">
        <v>1325</v>
      </c>
    </row>
    <row r="84" spans="1:12">
      <c r="A84" s="29" t="s">
        <v>1363</v>
      </c>
      <c r="B84" s="29" t="s">
        <v>1364</v>
      </c>
      <c r="C84" s="26"/>
      <c r="D84" s="468" t="s">
        <v>3905</v>
      </c>
      <c r="E84" s="185" t="str">
        <f t="shared" si="2"/>
        <v>=VLOOKUP("", Data!$B:$D,F1, FALSE)</v>
      </c>
      <c r="K84" s="26" t="s">
        <v>1477</v>
      </c>
      <c r="L84" t="s">
        <v>1329</v>
      </c>
    </row>
    <row r="85" spans="1:12">
      <c r="A85" s="29" t="s">
        <v>1363</v>
      </c>
      <c r="B85" s="29" t="s">
        <v>1364</v>
      </c>
      <c r="D85" s="468" t="s">
        <v>3905</v>
      </c>
      <c r="E85" s="185" t="str">
        <f t="shared" si="2"/>
        <v>=VLOOKUP("", Data!$B:$D,F1, FALSE)</v>
      </c>
      <c r="K85" t="s">
        <v>1330</v>
      </c>
      <c r="L85" t="s">
        <v>1331</v>
      </c>
    </row>
    <row r="86" spans="1:12">
      <c r="A86" s="29" t="s">
        <v>1363</v>
      </c>
      <c r="B86" s="29" t="s">
        <v>1364</v>
      </c>
      <c r="D86" s="468" t="s">
        <v>3905</v>
      </c>
      <c r="E86" s="185" t="str">
        <f t="shared" si="2"/>
        <v>=VLOOKUP("", Data!$B:$D,F1, FALSE)</v>
      </c>
      <c r="K86" t="s">
        <v>1330</v>
      </c>
      <c r="L86" t="s">
        <v>1331</v>
      </c>
    </row>
    <row r="87" spans="1:12">
      <c r="A87" s="29" t="s">
        <v>1363</v>
      </c>
      <c r="B87" s="29" t="s">
        <v>1364</v>
      </c>
      <c r="D87" s="468" t="s">
        <v>3905</v>
      </c>
      <c r="E87" s="185" t="str">
        <f t="shared" si="2"/>
        <v>=VLOOKUP("", Data!$B:$D,F1, FALSE)</v>
      </c>
      <c r="K87" t="s">
        <v>1332</v>
      </c>
      <c r="L87" t="s">
        <v>1333</v>
      </c>
    </row>
    <row r="88" spans="1:12">
      <c r="A88" s="29" t="s">
        <v>1363</v>
      </c>
      <c r="B88" s="29" t="s">
        <v>1364</v>
      </c>
      <c r="D88" s="468" t="s">
        <v>3905</v>
      </c>
      <c r="E88" s="185" t="str">
        <f t="shared" si="2"/>
        <v>=VLOOKUP("", Data!$B:$D,F1, FALSE)</v>
      </c>
      <c r="K88" t="s">
        <v>1332</v>
      </c>
      <c r="L88" t="s">
        <v>1333</v>
      </c>
    </row>
    <row r="89" spans="1:12">
      <c r="A89" s="29" t="s">
        <v>1363</v>
      </c>
      <c r="B89" s="29" t="s">
        <v>1364</v>
      </c>
      <c r="D89" s="468" t="s">
        <v>3905</v>
      </c>
      <c r="E89" s="185" t="str">
        <f t="shared" si="2"/>
        <v>=VLOOKUP("", Data!$B:$D,F1, FALSE)</v>
      </c>
      <c r="K89" t="s">
        <v>1332</v>
      </c>
      <c r="L89" t="s">
        <v>1333</v>
      </c>
    </row>
    <row r="90" spans="1:12">
      <c r="A90" s="29" t="s">
        <v>1363</v>
      </c>
      <c r="B90" s="29" t="s">
        <v>1364</v>
      </c>
      <c r="D90" s="468" t="s">
        <v>3905</v>
      </c>
      <c r="E90" s="185" t="str">
        <f t="shared" si="2"/>
        <v>=VLOOKUP("", Data!$B:$D,F1, FALSE)</v>
      </c>
      <c r="K90" t="s">
        <v>506</v>
      </c>
      <c r="L90" t="s">
        <v>1334</v>
      </c>
    </row>
    <row r="91" spans="1:12">
      <c r="A91" s="29" t="s">
        <v>1363</v>
      </c>
      <c r="B91" s="29" t="s">
        <v>1364</v>
      </c>
      <c r="D91" s="468" t="s">
        <v>3905</v>
      </c>
      <c r="E91" s="185" t="str">
        <f t="shared" si="2"/>
        <v>=VLOOKUP("", Data!$B:$D,F1, FALSE)</v>
      </c>
      <c r="K91" t="s">
        <v>506</v>
      </c>
      <c r="L91" t="s">
        <v>1334</v>
      </c>
    </row>
    <row r="92" spans="1:12">
      <c r="A92" s="29" t="s">
        <v>1363</v>
      </c>
      <c r="B92" s="29" t="s">
        <v>1364</v>
      </c>
      <c r="D92" s="468" t="s">
        <v>3905</v>
      </c>
      <c r="E92" s="185" t="str">
        <f t="shared" si="2"/>
        <v>=VLOOKUP("", Data!$B:$D,F1, FALSE)</v>
      </c>
      <c r="K92" t="s">
        <v>1355</v>
      </c>
      <c r="L92" t="s">
        <v>1335</v>
      </c>
    </row>
    <row r="93" spans="1:12">
      <c r="A93" s="29" t="s">
        <v>1363</v>
      </c>
      <c r="B93" s="29" t="s">
        <v>1364</v>
      </c>
      <c r="D93" s="468" t="s">
        <v>3905</v>
      </c>
      <c r="E93" s="185" t="str">
        <f t="shared" si="2"/>
        <v>=VLOOKUP("", Data!$B:$D,F1, FALSE)</v>
      </c>
      <c r="K93" t="s">
        <v>1355</v>
      </c>
      <c r="L93" t="s">
        <v>1335</v>
      </c>
    </row>
    <row r="94" spans="1:12">
      <c r="A94" s="29" t="s">
        <v>1361</v>
      </c>
      <c r="B94" s="29" t="s">
        <v>1362</v>
      </c>
      <c r="D94" s="468" t="s">
        <v>3905</v>
      </c>
      <c r="E94" s="185" t="str">
        <f t="shared" si="2"/>
        <v>=VLOOKUP("", Data!$B:$D,F1, FALSE)</v>
      </c>
      <c r="K94" t="s">
        <v>1355</v>
      </c>
      <c r="L94" t="s">
        <v>1335</v>
      </c>
    </row>
    <row r="95" spans="1:12">
      <c r="A95" s="29" t="s">
        <v>1361</v>
      </c>
      <c r="B95" s="29" t="s">
        <v>1362</v>
      </c>
      <c r="D95" s="468" t="s">
        <v>3905</v>
      </c>
      <c r="E95" s="185" t="str">
        <f t="shared" si="2"/>
        <v>=VLOOKUP("", Data!$B:$D,F1, FALSE)</v>
      </c>
      <c r="K95" t="s">
        <v>1336</v>
      </c>
      <c r="L95" t="s">
        <v>1337</v>
      </c>
    </row>
    <row r="96" spans="1:12">
      <c r="A96" s="29" t="s">
        <v>1363</v>
      </c>
      <c r="B96" s="29" t="s">
        <v>1364</v>
      </c>
      <c r="D96" s="468" t="s">
        <v>3905</v>
      </c>
      <c r="E96" s="185" t="str">
        <f t="shared" si="2"/>
        <v>=VLOOKUP("", Data!$B:$D,F1, FALSE)</v>
      </c>
      <c r="K96" t="s">
        <v>1336</v>
      </c>
      <c r="L96" t="s">
        <v>1337</v>
      </c>
    </row>
    <row r="97" spans="1:12">
      <c r="A97" s="29" t="s">
        <v>1363</v>
      </c>
      <c r="B97" s="29" t="s">
        <v>1364</v>
      </c>
      <c r="D97" s="468" t="s">
        <v>3905</v>
      </c>
      <c r="E97" s="185" t="str">
        <f t="shared" si="2"/>
        <v>=VLOOKUP("", Data!$B:$D,F1, FALSE)</v>
      </c>
      <c r="K97" t="s">
        <v>1336</v>
      </c>
      <c r="L97" t="s">
        <v>1337</v>
      </c>
    </row>
    <row r="98" spans="1:12">
      <c r="A98" s="29" t="s">
        <v>1363</v>
      </c>
      <c r="B98" s="29" t="s">
        <v>1364</v>
      </c>
      <c r="D98" s="468" t="s">
        <v>3905</v>
      </c>
      <c r="E98" s="185" t="str">
        <f t="shared" ref="E98:E129" si="3">A98&amp;B98&amp;C98&amp;D98</f>
        <v>=VLOOKUP("", Data!$B:$D,F1, FALSE)</v>
      </c>
      <c r="K98" t="s">
        <v>1336</v>
      </c>
      <c r="L98" t="s">
        <v>1337</v>
      </c>
    </row>
    <row r="99" spans="1:12">
      <c r="A99" s="29" t="s">
        <v>1363</v>
      </c>
      <c r="B99" s="29" t="s">
        <v>1364</v>
      </c>
      <c r="D99" s="468" t="s">
        <v>3905</v>
      </c>
      <c r="E99" s="185" t="str">
        <f t="shared" si="3"/>
        <v>=VLOOKUP("", Data!$B:$D,F1, FALSE)</v>
      </c>
      <c r="K99" t="s">
        <v>1336</v>
      </c>
      <c r="L99" t="s">
        <v>1337</v>
      </c>
    </row>
    <row r="100" spans="1:12">
      <c r="A100" s="29" t="s">
        <v>1363</v>
      </c>
      <c r="B100" s="29" t="s">
        <v>1364</v>
      </c>
      <c r="D100" s="468" t="s">
        <v>3905</v>
      </c>
      <c r="E100" s="185" t="str">
        <f t="shared" si="3"/>
        <v>=VLOOKUP("", Data!$B:$D,F1, FALSE)</v>
      </c>
      <c r="K100" t="s">
        <v>523</v>
      </c>
      <c r="L100" t="s">
        <v>1338</v>
      </c>
    </row>
    <row r="101" spans="1:12">
      <c r="A101" s="29" t="s">
        <v>1363</v>
      </c>
      <c r="B101" s="29" t="s">
        <v>1364</v>
      </c>
      <c r="D101" s="468" t="s">
        <v>3905</v>
      </c>
      <c r="E101" s="185" t="str">
        <f t="shared" si="3"/>
        <v>=VLOOKUP("", Data!$B:$D,F1, FALSE)</v>
      </c>
      <c r="K101" t="s">
        <v>523</v>
      </c>
      <c r="L101" t="s">
        <v>1338</v>
      </c>
    </row>
    <row r="102" spans="1:12">
      <c r="A102" s="29" t="s">
        <v>1363</v>
      </c>
      <c r="B102" s="29" t="s">
        <v>1364</v>
      </c>
      <c r="D102" s="468" t="s">
        <v>3905</v>
      </c>
      <c r="E102" s="185" t="str">
        <f t="shared" si="3"/>
        <v>=VLOOKUP("", Data!$B:$D,F1, FALSE)</v>
      </c>
      <c r="K102" t="s">
        <v>523</v>
      </c>
      <c r="L102" t="s">
        <v>1338</v>
      </c>
    </row>
    <row r="103" spans="1:12">
      <c r="A103" s="29" t="s">
        <v>1363</v>
      </c>
      <c r="B103" s="29" t="s">
        <v>1364</v>
      </c>
      <c r="D103" s="468" t="s">
        <v>3905</v>
      </c>
      <c r="E103" s="185" t="str">
        <f t="shared" si="3"/>
        <v>=VLOOKUP("", Data!$B:$D,F1, FALSE)</v>
      </c>
      <c r="K103" t="s">
        <v>505</v>
      </c>
      <c r="L103" t="s">
        <v>1339</v>
      </c>
    </row>
    <row r="104" spans="1:12">
      <c r="A104" s="29" t="s">
        <v>1363</v>
      </c>
      <c r="B104" s="29" t="s">
        <v>1364</v>
      </c>
      <c r="D104" s="468" t="s">
        <v>3905</v>
      </c>
      <c r="E104" s="185" t="str">
        <f t="shared" si="3"/>
        <v>=VLOOKUP("", Data!$B:$D,F1, FALSE)</v>
      </c>
      <c r="K104" t="s">
        <v>505</v>
      </c>
      <c r="L104" t="s">
        <v>1339</v>
      </c>
    </row>
    <row r="105" spans="1:12">
      <c r="A105" s="29" t="s">
        <v>1363</v>
      </c>
      <c r="B105" s="29" t="s">
        <v>1364</v>
      </c>
      <c r="D105" s="468" t="s">
        <v>3905</v>
      </c>
      <c r="E105" s="185" t="str">
        <f t="shared" si="3"/>
        <v>=VLOOKUP("", Data!$B:$D,F1, FALSE)</v>
      </c>
      <c r="K105" t="s">
        <v>505</v>
      </c>
      <c r="L105" t="s">
        <v>1339</v>
      </c>
    </row>
    <row r="106" spans="1:12">
      <c r="A106" s="29" t="s">
        <v>1363</v>
      </c>
      <c r="B106" s="29" t="s">
        <v>1364</v>
      </c>
      <c r="D106" s="468" t="s">
        <v>3905</v>
      </c>
      <c r="E106" s="185" t="str">
        <f t="shared" si="3"/>
        <v>=VLOOKUP("", Data!$B:$D,F1, FALSE)</v>
      </c>
      <c r="K106" t="s">
        <v>505</v>
      </c>
      <c r="L106" t="s">
        <v>1339</v>
      </c>
    </row>
    <row r="107" spans="1:12">
      <c r="A107" s="29" t="s">
        <v>1363</v>
      </c>
      <c r="B107" s="29" t="s">
        <v>1364</v>
      </c>
      <c r="D107" s="468" t="s">
        <v>3905</v>
      </c>
      <c r="E107" s="185" t="str">
        <f t="shared" si="3"/>
        <v>=VLOOKUP("", Data!$B:$D,F1, FALSE)</v>
      </c>
      <c r="K107" t="s">
        <v>505</v>
      </c>
      <c r="L107" t="s">
        <v>1339</v>
      </c>
    </row>
    <row r="108" spans="1:12">
      <c r="A108" s="29" t="s">
        <v>1363</v>
      </c>
      <c r="B108" s="29" t="s">
        <v>1364</v>
      </c>
      <c r="D108" s="468" t="s">
        <v>3905</v>
      </c>
      <c r="E108" s="185" t="str">
        <f t="shared" si="3"/>
        <v>=VLOOKUP("", Data!$B:$D,F1, FALSE)</v>
      </c>
      <c r="K108" t="s">
        <v>505</v>
      </c>
      <c r="L108" t="s">
        <v>1339</v>
      </c>
    </row>
    <row r="109" spans="1:12">
      <c r="A109" s="29" t="s">
        <v>1363</v>
      </c>
      <c r="B109" s="29" t="s">
        <v>1364</v>
      </c>
      <c r="D109" s="468" t="s">
        <v>3905</v>
      </c>
      <c r="E109" s="185" t="str">
        <f t="shared" si="3"/>
        <v>=VLOOKUP("", Data!$B:$D,F1, FALSE)</v>
      </c>
      <c r="K109" t="s">
        <v>1340</v>
      </c>
      <c r="L109" t="s">
        <v>1341</v>
      </c>
    </row>
    <row r="110" spans="1:12">
      <c r="A110" s="29" t="s">
        <v>1363</v>
      </c>
      <c r="B110" s="29" t="s">
        <v>1364</v>
      </c>
      <c r="D110" s="468" t="s">
        <v>3905</v>
      </c>
      <c r="E110" s="185" t="str">
        <f t="shared" si="3"/>
        <v>=VLOOKUP("", Data!$B:$D,F1, FALSE)</v>
      </c>
      <c r="K110" t="s">
        <v>568</v>
      </c>
      <c r="L110" t="s">
        <v>1342</v>
      </c>
    </row>
    <row r="111" spans="1:12">
      <c r="A111" s="29" t="s">
        <v>1363</v>
      </c>
      <c r="B111" s="29" t="s">
        <v>1364</v>
      </c>
      <c r="D111" s="468" t="s">
        <v>3905</v>
      </c>
      <c r="E111" s="185" t="str">
        <f t="shared" si="3"/>
        <v>=VLOOKUP("", Data!$B:$D,F1, FALSE)</v>
      </c>
      <c r="K111" t="s">
        <v>568</v>
      </c>
      <c r="L111" t="s">
        <v>1342</v>
      </c>
    </row>
    <row r="112" spans="1:12">
      <c r="A112" s="29" t="s">
        <v>1363</v>
      </c>
      <c r="B112" s="29" t="s">
        <v>1364</v>
      </c>
      <c r="D112" s="468" t="s">
        <v>3905</v>
      </c>
      <c r="E112" s="185" t="str">
        <f t="shared" si="3"/>
        <v>=VLOOKUP("", Data!$B:$D,F1, FALSE)</v>
      </c>
      <c r="K112" t="s">
        <v>568</v>
      </c>
      <c r="L112" t="s">
        <v>1342</v>
      </c>
    </row>
    <row r="113" spans="1:12">
      <c r="A113" s="29" t="s">
        <v>1363</v>
      </c>
      <c r="B113" s="29" t="s">
        <v>1364</v>
      </c>
      <c r="D113" s="468" t="s">
        <v>3905</v>
      </c>
      <c r="E113" s="185" t="str">
        <f t="shared" si="3"/>
        <v>=VLOOKUP("", Data!$B:$D,F1, FALSE)</v>
      </c>
      <c r="K113" t="s">
        <v>568</v>
      </c>
      <c r="L113" t="s">
        <v>1342</v>
      </c>
    </row>
    <row r="114" spans="1:12">
      <c r="A114" s="29" t="s">
        <v>1363</v>
      </c>
      <c r="B114" s="29" t="s">
        <v>1364</v>
      </c>
      <c r="D114" s="468" t="s">
        <v>3905</v>
      </c>
      <c r="E114" s="185" t="str">
        <f t="shared" si="3"/>
        <v>=VLOOKUP("", Data!$B:$D,F1, FALSE)</v>
      </c>
      <c r="K114" t="s">
        <v>465</v>
      </c>
      <c r="L114" t="s">
        <v>1343</v>
      </c>
    </row>
    <row r="115" spans="1:12">
      <c r="A115" s="29" t="s">
        <v>1363</v>
      </c>
      <c r="B115" s="29" t="s">
        <v>1364</v>
      </c>
      <c r="D115" s="468" t="s">
        <v>3905</v>
      </c>
      <c r="E115" s="185" t="str">
        <f t="shared" si="3"/>
        <v>=VLOOKUP("", Data!$B:$D,F1, FALSE)</v>
      </c>
      <c r="K115" t="s">
        <v>465</v>
      </c>
      <c r="L115" t="s">
        <v>1343</v>
      </c>
    </row>
    <row r="116" spans="1:12">
      <c r="A116" s="29" t="s">
        <v>1363</v>
      </c>
      <c r="B116" s="29" t="s">
        <v>1364</v>
      </c>
      <c r="D116" s="468" t="s">
        <v>3905</v>
      </c>
      <c r="E116" s="185" t="str">
        <f t="shared" si="3"/>
        <v>=VLOOKUP("", Data!$B:$D,F1, FALSE)</v>
      </c>
      <c r="K116" t="s">
        <v>465</v>
      </c>
      <c r="L116" t="s">
        <v>1343</v>
      </c>
    </row>
    <row r="117" spans="1:12">
      <c r="A117" s="29" t="s">
        <v>1363</v>
      </c>
      <c r="B117" s="29" t="s">
        <v>1364</v>
      </c>
      <c r="D117" s="468" t="s">
        <v>3905</v>
      </c>
      <c r="E117" s="185" t="str">
        <f t="shared" si="3"/>
        <v>=VLOOKUP("", Data!$B:$D,F1, FALSE)</v>
      </c>
      <c r="K117" t="s">
        <v>465</v>
      </c>
      <c r="L117" t="s">
        <v>1343</v>
      </c>
    </row>
    <row r="118" spans="1:12">
      <c r="A118" s="29" t="s">
        <v>1363</v>
      </c>
      <c r="B118" s="29" t="s">
        <v>1364</v>
      </c>
      <c r="D118" s="468" t="s">
        <v>3905</v>
      </c>
      <c r="E118" s="185" t="str">
        <f t="shared" si="3"/>
        <v>=VLOOKUP("", Data!$B:$D,F1, FALSE)</v>
      </c>
      <c r="K118" t="s">
        <v>465</v>
      </c>
      <c r="L118" t="s">
        <v>1343</v>
      </c>
    </row>
    <row r="119" spans="1:12">
      <c r="A119" s="29" t="s">
        <v>1363</v>
      </c>
      <c r="B119" s="29" t="s">
        <v>1364</v>
      </c>
      <c r="D119" s="468" t="s">
        <v>3905</v>
      </c>
      <c r="E119" s="185" t="str">
        <f t="shared" si="3"/>
        <v>=VLOOKUP("", Data!$B:$D,F1, FALSE)</v>
      </c>
      <c r="K119" t="s">
        <v>1344</v>
      </c>
      <c r="L119" t="s">
        <v>1345</v>
      </c>
    </row>
    <row r="120" spans="1:12">
      <c r="A120" s="29" t="s">
        <v>1363</v>
      </c>
      <c r="B120" s="29" t="s">
        <v>1364</v>
      </c>
      <c r="D120" s="468" t="s">
        <v>3905</v>
      </c>
      <c r="E120" s="185" t="str">
        <f t="shared" si="3"/>
        <v>=VLOOKUP("", Data!$B:$D,F1, FALSE)</v>
      </c>
      <c r="K120" t="s">
        <v>1344</v>
      </c>
      <c r="L120" t="s">
        <v>1345</v>
      </c>
    </row>
    <row r="121" spans="1:12">
      <c r="A121" s="29" t="s">
        <v>1363</v>
      </c>
      <c r="B121" s="29" t="s">
        <v>1364</v>
      </c>
      <c r="D121" s="468" t="s">
        <v>3905</v>
      </c>
      <c r="E121" s="185" t="str">
        <f t="shared" si="3"/>
        <v>=VLOOKUP("", Data!$B:$D,F1, FALSE)</v>
      </c>
      <c r="K121" t="s">
        <v>1344</v>
      </c>
      <c r="L121" t="s">
        <v>1345</v>
      </c>
    </row>
    <row r="122" spans="1:12">
      <c r="A122" s="29" t="s">
        <v>1363</v>
      </c>
      <c r="B122" s="29" t="s">
        <v>1364</v>
      </c>
      <c r="D122" s="468" t="s">
        <v>3905</v>
      </c>
      <c r="E122" s="185" t="str">
        <f t="shared" si="3"/>
        <v>=VLOOKUP("", Data!$B:$D,F1, FALSE)</v>
      </c>
      <c r="K122" t="s">
        <v>1344</v>
      </c>
      <c r="L122" t="s">
        <v>1345</v>
      </c>
    </row>
    <row r="123" spans="1:12">
      <c r="A123" s="29" t="s">
        <v>1363</v>
      </c>
      <c r="B123" s="29" t="s">
        <v>1364</v>
      </c>
      <c r="D123" s="468" t="s">
        <v>3905</v>
      </c>
      <c r="E123" s="185" t="str">
        <f t="shared" si="3"/>
        <v>=VLOOKUP("", Data!$B:$D,F1, FALSE)</v>
      </c>
      <c r="K123" t="s">
        <v>1344</v>
      </c>
      <c r="L123" t="s">
        <v>1345</v>
      </c>
    </row>
    <row r="124" spans="1:12">
      <c r="A124" s="29" t="s">
        <v>1363</v>
      </c>
      <c r="B124" s="29" t="s">
        <v>1364</v>
      </c>
      <c r="D124" s="468" t="s">
        <v>3905</v>
      </c>
      <c r="E124" s="185" t="str">
        <f t="shared" si="3"/>
        <v>=VLOOKUP("", Data!$B:$D,F1, FALSE)</v>
      </c>
      <c r="K124" t="s">
        <v>1344</v>
      </c>
      <c r="L124" t="s">
        <v>1345</v>
      </c>
    </row>
    <row r="125" spans="1:12">
      <c r="A125" s="29" t="s">
        <v>1363</v>
      </c>
      <c r="B125" s="29" t="s">
        <v>1364</v>
      </c>
      <c r="D125" s="468" t="s">
        <v>3905</v>
      </c>
      <c r="E125" s="185" t="str">
        <f t="shared" si="3"/>
        <v>=VLOOKUP("", Data!$B:$D,F1, FALSE)</v>
      </c>
      <c r="K125" t="s">
        <v>1344</v>
      </c>
      <c r="L125" t="s">
        <v>1345</v>
      </c>
    </row>
    <row r="126" spans="1:12">
      <c r="A126" s="29" t="s">
        <v>1363</v>
      </c>
      <c r="B126" s="29" t="s">
        <v>1364</v>
      </c>
      <c r="D126" s="468" t="s">
        <v>3905</v>
      </c>
      <c r="E126" s="185" t="str">
        <f t="shared" si="3"/>
        <v>=VLOOKUP("", Data!$B:$D,F1, FALSE)</v>
      </c>
      <c r="K126" t="s">
        <v>465</v>
      </c>
      <c r="L126" t="s">
        <v>1343</v>
      </c>
    </row>
    <row r="127" spans="1:12">
      <c r="A127" s="29" t="s">
        <v>1363</v>
      </c>
      <c r="B127" s="29" t="s">
        <v>1364</v>
      </c>
      <c r="D127" s="468" t="s">
        <v>3905</v>
      </c>
      <c r="E127" s="185" t="str">
        <f t="shared" si="3"/>
        <v>=VLOOKUP("", Data!$B:$D,F1, FALSE)</v>
      </c>
    </row>
    <row r="128" spans="1:12">
      <c r="A128" s="29" t="s">
        <v>1363</v>
      </c>
      <c r="B128" s="29" t="s">
        <v>1364</v>
      </c>
      <c r="D128" s="468" t="s">
        <v>3905</v>
      </c>
      <c r="E128" s="185" t="str">
        <f t="shared" si="3"/>
        <v>=VLOOKUP("", Data!$B:$D,F1, FALSE)</v>
      </c>
    </row>
    <row r="129" spans="1:5">
      <c r="A129" s="29" t="s">
        <v>1363</v>
      </c>
      <c r="B129" s="29" t="s">
        <v>1364</v>
      </c>
      <c r="D129" s="468" t="s">
        <v>3905</v>
      </c>
      <c r="E129" s="185" t="str">
        <f t="shared" si="3"/>
        <v>=VLOOKUP("", Data!$B:$D,F1, FALSE)</v>
      </c>
    </row>
    <row r="130" spans="1:5">
      <c r="A130" s="29" t="s">
        <v>1363</v>
      </c>
      <c r="B130" s="29" t="s">
        <v>1364</v>
      </c>
      <c r="D130" s="468" t="s">
        <v>3905</v>
      </c>
      <c r="E130" s="185" t="str">
        <f t="shared" ref="E130:E161" si="4">A130&amp;B130&amp;C130&amp;D130</f>
        <v>=VLOOKUP("", Data!$B:$D,F1, FALSE)</v>
      </c>
    </row>
    <row r="131" spans="1:5">
      <c r="A131" s="29" t="s">
        <v>1363</v>
      </c>
      <c r="B131" s="29" t="s">
        <v>1364</v>
      </c>
      <c r="D131" s="468" t="s">
        <v>3905</v>
      </c>
      <c r="E131" s="185" t="str">
        <f t="shared" si="4"/>
        <v>=VLOOKUP("", Data!$B:$D,F1, FALSE)</v>
      </c>
    </row>
    <row r="132" spans="1:5">
      <c r="A132" s="29" t="s">
        <v>1363</v>
      </c>
      <c r="B132" s="29" t="s">
        <v>1364</v>
      </c>
      <c r="D132" s="468" t="s">
        <v>3905</v>
      </c>
      <c r="E132" s="185" t="str">
        <f t="shared" si="4"/>
        <v>=VLOOKUP("", Data!$B:$D,F1, FALSE)</v>
      </c>
    </row>
    <row r="133" spans="1:5">
      <c r="A133" s="29" t="s">
        <v>1363</v>
      </c>
      <c r="B133" s="29" t="s">
        <v>1364</v>
      </c>
      <c r="D133" s="468" t="s">
        <v>3905</v>
      </c>
      <c r="E133" s="185" t="str">
        <f t="shared" si="4"/>
        <v>=VLOOKUP("", Data!$B:$D,F1, FALSE)</v>
      </c>
    </row>
    <row r="134" spans="1:5">
      <c r="A134" s="29" t="s">
        <v>1363</v>
      </c>
      <c r="B134" s="29" t="s">
        <v>1364</v>
      </c>
      <c r="D134" s="468" t="s">
        <v>3905</v>
      </c>
      <c r="E134" s="185" t="str">
        <f t="shared" si="4"/>
        <v>=VLOOKUP("", Data!$B:$D,F1, FALSE)</v>
      </c>
    </row>
    <row r="135" spans="1:5">
      <c r="A135" s="29" t="s">
        <v>1363</v>
      </c>
      <c r="B135" s="29" t="s">
        <v>1364</v>
      </c>
      <c r="D135" s="468" t="s">
        <v>3905</v>
      </c>
      <c r="E135" s="185" t="str">
        <f t="shared" si="4"/>
        <v>=VLOOKUP("", Data!$B:$D,F1, FALSE)</v>
      </c>
    </row>
    <row r="136" spans="1:5">
      <c r="A136" s="29" t="s">
        <v>1363</v>
      </c>
      <c r="B136" s="29" t="s">
        <v>1364</v>
      </c>
      <c r="D136" s="468" t="s">
        <v>3905</v>
      </c>
      <c r="E136" s="185" t="str">
        <f t="shared" si="4"/>
        <v>=VLOOKUP("", Data!$B:$D,F1, FALSE)</v>
      </c>
    </row>
    <row r="137" spans="1:5">
      <c r="A137" s="29" t="s">
        <v>1363</v>
      </c>
      <c r="B137" s="29" t="s">
        <v>1364</v>
      </c>
      <c r="D137" s="468" t="s">
        <v>3905</v>
      </c>
      <c r="E137" s="185" t="str">
        <f t="shared" si="4"/>
        <v>=VLOOKUP("", Data!$B:$D,F1, FALSE)</v>
      </c>
    </row>
    <row r="138" spans="1:5">
      <c r="A138" s="29" t="s">
        <v>1363</v>
      </c>
      <c r="B138" s="29" t="s">
        <v>1364</v>
      </c>
      <c r="D138" s="468" t="s">
        <v>3905</v>
      </c>
      <c r="E138" s="185" t="str">
        <f t="shared" si="4"/>
        <v>=VLOOKUP("", Data!$B:$D,F1, FALSE)</v>
      </c>
    </row>
    <row r="139" spans="1:5">
      <c r="A139" s="29" t="s">
        <v>1363</v>
      </c>
      <c r="B139" s="29" t="s">
        <v>1364</v>
      </c>
      <c r="D139" s="468" t="s">
        <v>3905</v>
      </c>
      <c r="E139" s="185" t="str">
        <f t="shared" si="4"/>
        <v>=VLOOKUP("", Data!$B:$D,F1, FALSE)</v>
      </c>
    </row>
    <row r="140" spans="1:5">
      <c r="A140" s="29" t="s">
        <v>1363</v>
      </c>
      <c r="B140" s="29" t="s">
        <v>1364</v>
      </c>
      <c r="D140" s="468" t="s">
        <v>3905</v>
      </c>
      <c r="E140" s="185" t="str">
        <f t="shared" si="4"/>
        <v>=VLOOKUP("", Data!$B:$D,F1, FALSE)</v>
      </c>
    </row>
    <row r="141" spans="1:5">
      <c r="A141" s="29" t="s">
        <v>1363</v>
      </c>
      <c r="B141" s="29" t="s">
        <v>1364</v>
      </c>
      <c r="D141" s="468" t="s">
        <v>3905</v>
      </c>
      <c r="E141" s="185" t="str">
        <f t="shared" si="4"/>
        <v>=VLOOKUP("", Data!$B:$D,F1, FALSE)</v>
      </c>
    </row>
    <row r="142" spans="1:5">
      <c r="A142" s="29" t="s">
        <v>1363</v>
      </c>
      <c r="B142" s="29" t="s">
        <v>1364</v>
      </c>
      <c r="D142" s="468" t="s">
        <v>3905</v>
      </c>
      <c r="E142" s="185" t="str">
        <f t="shared" si="4"/>
        <v>=VLOOKUP("", Data!$B:$D,F1, FALSE)</v>
      </c>
    </row>
    <row r="143" spans="1:5">
      <c r="A143" s="29" t="s">
        <v>1363</v>
      </c>
      <c r="B143" s="29" t="s">
        <v>1364</v>
      </c>
      <c r="D143" s="468" t="s">
        <v>3905</v>
      </c>
      <c r="E143" s="185" t="str">
        <f t="shared" si="4"/>
        <v>=VLOOKUP("", Data!$B:$D,F1, FALSE)</v>
      </c>
    </row>
    <row r="144" spans="1:5">
      <c r="A144" s="29" t="s">
        <v>1363</v>
      </c>
      <c r="B144" s="29" t="s">
        <v>1364</v>
      </c>
      <c r="D144" s="468" t="s">
        <v>3905</v>
      </c>
      <c r="E144" s="185" t="str">
        <f t="shared" si="4"/>
        <v>=VLOOKUP("", Data!$B:$D,F1, FALSE)</v>
      </c>
    </row>
    <row r="145" spans="1:5">
      <c r="A145" s="29" t="s">
        <v>1363</v>
      </c>
      <c r="B145" s="29" t="s">
        <v>1364</v>
      </c>
      <c r="D145" s="468" t="s">
        <v>3905</v>
      </c>
      <c r="E145" s="185" t="str">
        <f t="shared" si="4"/>
        <v>=VLOOKUP("", Data!$B:$D,F1, FALSE)</v>
      </c>
    </row>
    <row r="146" spans="1:5">
      <c r="A146" s="29" t="s">
        <v>1363</v>
      </c>
      <c r="B146" s="29" t="s">
        <v>1364</v>
      </c>
      <c r="D146" s="468" t="s">
        <v>3905</v>
      </c>
      <c r="E146" s="185" t="str">
        <f t="shared" si="4"/>
        <v>=VLOOKUP("", Data!$B:$D,F1, FALSE)</v>
      </c>
    </row>
    <row r="147" spans="1:5">
      <c r="A147" s="29" t="s">
        <v>1363</v>
      </c>
      <c r="B147" s="29" t="s">
        <v>1364</v>
      </c>
      <c r="D147" s="468" t="s">
        <v>3905</v>
      </c>
      <c r="E147" s="185" t="str">
        <f t="shared" si="4"/>
        <v>=VLOOKUP("", Data!$B:$D,F1, FALSE)</v>
      </c>
    </row>
    <row r="148" spans="1:5">
      <c r="A148" s="29" t="s">
        <v>1363</v>
      </c>
      <c r="B148" s="29" t="s">
        <v>1364</v>
      </c>
      <c r="D148" s="468" t="s">
        <v>3905</v>
      </c>
      <c r="E148" s="185" t="str">
        <f t="shared" si="4"/>
        <v>=VLOOKUP("", Data!$B:$D,F1, FALSE)</v>
      </c>
    </row>
    <row r="149" spans="1:5">
      <c r="A149" s="29" t="s">
        <v>1363</v>
      </c>
      <c r="B149" s="29" t="s">
        <v>1364</v>
      </c>
      <c r="D149" s="468" t="s">
        <v>3905</v>
      </c>
      <c r="E149" s="185" t="str">
        <f t="shared" si="4"/>
        <v>=VLOOKUP("", Data!$B:$D,F1, FALSE)</v>
      </c>
    </row>
    <row r="150" spans="1:5">
      <c r="A150" s="29" t="s">
        <v>1363</v>
      </c>
      <c r="B150" s="29" t="s">
        <v>1364</v>
      </c>
      <c r="D150" s="468" t="s">
        <v>3905</v>
      </c>
      <c r="E150" s="185" t="str">
        <f t="shared" si="4"/>
        <v>=VLOOKUP("", Data!$B:$D,F1, FALSE)</v>
      </c>
    </row>
    <row r="151" spans="1:5">
      <c r="A151" s="29" t="s">
        <v>1363</v>
      </c>
      <c r="B151" s="29" t="s">
        <v>1364</v>
      </c>
      <c r="D151" s="468" t="s">
        <v>3905</v>
      </c>
      <c r="E151" s="185" t="str">
        <f t="shared" si="4"/>
        <v>=VLOOKUP("", Data!$B:$D,F1, FALSE)</v>
      </c>
    </row>
    <row r="152" spans="1:5">
      <c r="A152" s="29" t="s">
        <v>1363</v>
      </c>
      <c r="B152" s="29" t="s">
        <v>1364</v>
      </c>
      <c r="D152" s="468" t="s">
        <v>3905</v>
      </c>
      <c r="E152" s="185" t="str">
        <f t="shared" si="4"/>
        <v>=VLOOKUP("", Data!$B:$D,F1, FALSE)</v>
      </c>
    </row>
    <row r="153" spans="1:5">
      <c r="A153" s="29" t="s">
        <v>1363</v>
      </c>
      <c r="B153" s="29" t="s">
        <v>1364</v>
      </c>
      <c r="D153" s="468" t="s">
        <v>3905</v>
      </c>
      <c r="E153" s="185" t="str">
        <f t="shared" si="4"/>
        <v>=VLOOKUP("", Data!$B:$D,F1, FALSE)</v>
      </c>
    </row>
    <row r="154" spans="1:5">
      <c r="A154" s="29" t="s">
        <v>1363</v>
      </c>
      <c r="B154" s="29" t="s">
        <v>1364</v>
      </c>
      <c r="D154" s="468" t="s">
        <v>3905</v>
      </c>
      <c r="E154" s="185" t="str">
        <f t="shared" si="4"/>
        <v>=VLOOKUP("", Data!$B:$D,F1, FALSE)</v>
      </c>
    </row>
    <row r="155" spans="1:5">
      <c r="A155" s="29" t="s">
        <v>1363</v>
      </c>
      <c r="B155" s="29" t="s">
        <v>1364</v>
      </c>
      <c r="D155" s="468" t="s">
        <v>3905</v>
      </c>
      <c r="E155" s="185" t="str">
        <f t="shared" si="4"/>
        <v>=VLOOKUP("", Data!$B:$D,F1, FALSE)</v>
      </c>
    </row>
    <row r="156" spans="1:5">
      <c r="A156" s="29" t="s">
        <v>1363</v>
      </c>
      <c r="B156" s="29" t="s">
        <v>1364</v>
      </c>
      <c r="D156" s="468" t="s">
        <v>3905</v>
      </c>
      <c r="E156" s="185" t="str">
        <f t="shared" si="4"/>
        <v>=VLOOKUP("", Data!$B:$D,F1, FALSE)</v>
      </c>
    </row>
    <row r="157" spans="1:5">
      <c r="A157" s="29" t="s">
        <v>1363</v>
      </c>
      <c r="B157" s="29" t="s">
        <v>1364</v>
      </c>
      <c r="D157" s="468" t="s">
        <v>3905</v>
      </c>
      <c r="E157" s="185" t="str">
        <f t="shared" si="4"/>
        <v>=VLOOKUP("", Data!$B:$D,F1, FALSE)</v>
      </c>
    </row>
    <row r="158" spans="1:5">
      <c r="A158" s="29" t="s">
        <v>1363</v>
      </c>
      <c r="B158" s="29" t="s">
        <v>1364</v>
      </c>
      <c r="D158" s="468" t="s">
        <v>3905</v>
      </c>
      <c r="E158" s="185" t="str">
        <f t="shared" si="4"/>
        <v>=VLOOKUP("", Data!$B:$D,F1, FALSE)</v>
      </c>
    </row>
    <row r="159" spans="1:5">
      <c r="A159" s="29" t="s">
        <v>1363</v>
      </c>
      <c r="B159" s="29" t="s">
        <v>1364</v>
      </c>
      <c r="D159" s="468" t="s">
        <v>3905</v>
      </c>
      <c r="E159" s="185" t="str">
        <f t="shared" si="4"/>
        <v>=VLOOKUP("", Data!$B:$D,F1, FALSE)</v>
      </c>
    </row>
    <row r="160" spans="1:5">
      <c r="A160" s="29" t="s">
        <v>1363</v>
      </c>
      <c r="B160" s="29" t="s">
        <v>1364</v>
      </c>
      <c r="D160" s="468" t="s">
        <v>3905</v>
      </c>
      <c r="E160" s="185" t="str">
        <f t="shared" si="4"/>
        <v>=VLOOKUP("", Data!$B:$D,F1, FALSE)</v>
      </c>
    </row>
    <row r="161" spans="1:5">
      <c r="A161" s="29" t="s">
        <v>1363</v>
      </c>
      <c r="B161" s="29" t="s">
        <v>1364</v>
      </c>
      <c r="D161" s="468" t="s">
        <v>3905</v>
      </c>
      <c r="E161" s="185" t="str">
        <f t="shared" si="4"/>
        <v>=VLOOKUP("", Data!$B:$D,F1, FALSE)</v>
      </c>
    </row>
    <row r="162" spans="1:5">
      <c r="A162" s="29" t="s">
        <v>1363</v>
      </c>
      <c r="B162" s="29" t="s">
        <v>1364</v>
      </c>
      <c r="D162" s="468" t="s">
        <v>3905</v>
      </c>
      <c r="E162" s="185" t="str">
        <f t="shared" ref="E162:E193" si="5">A162&amp;B162&amp;C162&amp;D162</f>
        <v>=VLOOKUP("", Data!$B:$D,F1, FALSE)</v>
      </c>
    </row>
    <row r="163" spans="1:5">
      <c r="A163" s="29" t="s">
        <v>1363</v>
      </c>
      <c r="B163" s="29" t="s">
        <v>1364</v>
      </c>
      <c r="D163" s="468" t="s">
        <v>3905</v>
      </c>
      <c r="E163" s="185" t="str">
        <f t="shared" si="5"/>
        <v>=VLOOKUP("", Data!$B:$D,F1, FALSE)</v>
      </c>
    </row>
    <row r="164" spans="1:5">
      <c r="A164" s="29" t="s">
        <v>1363</v>
      </c>
      <c r="B164" s="29" t="s">
        <v>1364</v>
      </c>
      <c r="D164" s="468" t="s">
        <v>3905</v>
      </c>
      <c r="E164" s="185" t="str">
        <f t="shared" si="5"/>
        <v>=VLOOKUP("", Data!$B:$D,F1, FALSE)</v>
      </c>
    </row>
    <row r="165" spans="1:5">
      <c r="A165" s="29" t="s">
        <v>1363</v>
      </c>
      <c r="B165" s="29" t="s">
        <v>1364</v>
      </c>
      <c r="D165" s="468" t="s">
        <v>3905</v>
      </c>
      <c r="E165" s="185" t="str">
        <f t="shared" si="5"/>
        <v>=VLOOKUP("", Data!$B:$D,F1, FALSE)</v>
      </c>
    </row>
    <row r="166" spans="1:5">
      <c r="A166" s="29" t="s">
        <v>1363</v>
      </c>
      <c r="B166" s="29" t="s">
        <v>1364</v>
      </c>
      <c r="D166" s="468" t="s">
        <v>3905</v>
      </c>
      <c r="E166" s="185" t="str">
        <f t="shared" si="5"/>
        <v>=VLOOKUP("", Data!$B:$D,F1, FALSE)</v>
      </c>
    </row>
    <row r="167" spans="1:5">
      <c r="A167" s="29" t="s">
        <v>1363</v>
      </c>
      <c r="B167" s="29" t="s">
        <v>1364</v>
      </c>
      <c r="D167" s="468" t="s">
        <v>3905</v>
      </c>
      <c r="E167" s="185" t="str">
        <f t="shared" si="5"/>
        <v>=VLOOKUP("", Data!$B:$D,F1, FALSE)</v>
      </c>
    </row>
    <row r="168" spans="1:5">
      <c r="A168" s="29" t="s">
        <v>1363</v>
      </c>
      <c r="B168" s="29" t="s">
        <v>1364</v>
      </c>
      <c r="D168" s="468" t="s">
        <v>3905</v>
      </c>
      <c r="E168" s="185" t="str">
        <f t="shared" si="5"/>
        <v>=VLOOKUP("", Data!$B:$D,F1, FALSE)</v>
      </c>
    </row>
    <row r="169" spans="1:5">
      <c r="A169" s="29" t="s">
        <v>1363</v>
      </c>
      <c r="B169" s="29" t="s">
        <v>1364</v>
      </c>
      <c r="D169" s="468" t="s">
        <v>3905</v>
      </c>
      <c r="E169" s="185" t="str">
        <f t="shared" si="5"/>
        <v>=VLOOKUP("", Data!$B:$D,F1, FALSE)</v>
      </c>
    </row>
    <row r="170" spans="1:5">
      <c r="A170" s="29" t="s">
        <v>1363</v>
      </c>
      <c r="B170" s="29" t="s">
        <v>1364</v>
      </c>
      <c r="D170" s="468" t="s">
        <v>3905</v>
      </c>
      <c r="E170" s="185" t="str">
        <f t="shared" si="5"/>
        <v>=VLOOKUP("", Data!$B:$D,F1, FALSE)</v>
      </c>
    </row>
    <row r="171" spans="1:5">
      <c r="A171" s="29" t="s">
        <v>1363</v>
      </c>
      <c r="B171" s="29" t="s">
        <v>1364</v>
      </c>
      <c r="D171" s="468" t="s">
        <v>3905</v>
      </c>
      <c r="E171" s="185" t="str">
        <f t="shared" si="5"/>
        <v>=VLOOKUP("", Data!$B:$D,F1, FALSE)</v>
      </c>
    </row>
    <row r="172" spans="1:5">
      <c r="A172" s="29" t="s">
        <v>1363</v>
      </c>
      <c r="B172" s="29" t="s">
        <v>1364</v>
      </c>
      <c r="D172" s="468" t="s">
        <v>3905</v>
      </c>
      <c r="E172" s="185" t="str">
        <f t="shared" si="5"/>
        <v>=VLOOKUP("", Data!$B:$D,F1, FALSE)</v>
      </c>
    </row>
    <row r="173" spans="1:5">
      <c r="A173" s="29" t="s">
        <v>1363</v>
      </c>
      <c r="B173" s="29" t="s">
        <v>1364</v>
      </c>
      <c r="D173" s="468" t="s">
        <v>3905</v>
      </c>
      <c r="E173" s="185" t="str">
        <f t="shared" si="5"/>
        <v>=VLOOKUP("", Data!$B:$D,F1, FALSE)</v>
      </c>
    </row>
    <row r="174" spans="1:5">
      <c r="A174" s="29" t="s">
        <v>1363</v>
      </c>
      <c r="B174" s="29" t="s">
        <v>1364</v>
      </c>
      <c r="D174" s="468" t="s">
        <v>3905</v>
      </c>
      <c r="E174" s="185" t="str">
        <f t="shared" si="5"/>
        <v>=VLOOKUP("", Data!$B:$D,F1, FALSE)</v>
      </c>
    </row>
    <row r="175" spans="1:5">
      <c r="A175" s="29" t="s">
        <v>1363</v>
      </c>
      <c r="B175" s="29" t="s">
        <v>1364</v>
      </c>
      <c r="D175" s="468" t="s">
        <v>3905</v>
      </c>
      <c r="E175" s="185" t="str">
        <f t="shared" si="5"/>
        <v>=VLOOKUP("", Data!$B:$D,F1, FALSE)</v>
      </c>
    </row>
    <row r="176" spans="1:5">
      <c r="A176" s="29" t="s">
        <v>1363</v>
      </c>
      <c r="B176" s="29" t="s">
        <v>1364</v>
      </c>
      <c r="D176" s="468" t="s">
        <v>3905</v>
      </c>
      <c r="E176" s="185" t="str">
        <f t="shared" si="5"/>
        <v>=VLOOKUP("", Data!$B:$D,F1, FALSE)</v>
      </c>
    </row>
    <row r="177" spans="1:5">
      <c r="A177" s="29" t="s">
        <v>1363</v>
      </c>
      <c r="B177" s="29" t="s">
        <v>1364</v>
      </c>
      <c r="D177" s="468" t="s">
        <v>3905</v>
      </c>
      <c r="E177" s="185" t="str">
        <f t="shared" si="5"/>
        <v>=VLOOKUP("", Data!$B:$D,F1, FALSE)</v>
      </c>
    </row>
    <row r="178" spans="1:5">
      <c r="A178" s="29" t="s">
        <v>1363</v>
      </c>
      <c r="B178" s="29" t="s">
        <v>1364</v>
      </c>
      <c r="D178" s="468" t="s">
        <v>3905</v>
      </c>
      <c r="E178" s="185" t="str">
        <f t="shared" si="5"/>
        <v>=VLOOKUP("", Data!$B:$D,F1, FALSE)</v>
      </c>
    </row>
    <row r="179" spans="1:5">
      <c r="A179" s="29" t="s">
        <v>1363</v>
      </c>
      <c r="B179" s="29" t="s">
        <v>1364</v>
      </c>
      <c r="D179" s="468" t="s">
        <v>3905</v>
      </c>
      <c r="E179" s="185" t="str">
        <f t="shared" si="5"/>
        <v>=VLOOKUP("", Data!$B:$D,F1, FALSE)</v>
      </c>
    </row>
    <row r="180" spans="1:5">
      <c r="A180" s="29" t="s">
        <v>1363</v>
      </c>
      <c r="B180" s="29" t="s">
        <v>1364</v>
      </c>
      <c r="D180" s="468" t="s">
        <v>3905</v>
      </c>
      <c r="E180" s="185" t="str">
        <f t="shared" si="5"/>
        <v>=VLOOKUP("", Data!$B:$D,F1, FALSE)</v>
      </c>
    </row>
    <row r="181" spans="1:5">
      <c r="A181" s="29" t="s">
        <v>1363</v>
      </c>
      <c r="B181" s="29" t="s">
        <v>1364</v>
      </c>
      <c r="D181" s="468" t="s">
        <v>3905</v>
      </c>
      <c r="E181" s="185" t="str">
        <f t="shared" si="5"/>
        <v>=VLOOKUP("", Data!$B:$D,F1, FALSE)</v>
      </c>
    </row>
    <row r="182" spans="1:5">
      <c r="A182" s="29" t="s">
        <v>1363</v>
      </c>
      <c r="B182" s="29" t="s">
        <v>1364</v>
      </c>
      <c r="D182" s="468" t="s">
        <v>3905</v>
      </c>
      <c r="E182" s="185" t="str">
        <f t="shared" si="5"/>
        <v>=VLOOKUP("", Data!$B:$D,F1, FALSE)</v>
      </c>
    </row>
    <row r="183" spans="1:5">
      <c r="A183" s="29" t="s">
        <v>1363</v>
      </c>
      <c r="B183" s="29" t="s">
        <v>1364</v>
      </c>
      <c r="D183" s="468" t="s">
        <v>3905</v>
      </c>
      <c r="E183" s="185" t="str">
        <f t="shared" si="5"/>
        <v>=VLOOKUP("", Data!$B:$D,F1, FALSE)</v>
      </c>
    </row>
    <row r="184" spans="1:5">
      <c r="A184" s="29" t="s">
        <v>1363</v>
      </c>
      <c r="B184" s="29" t="s">
        <v>1364</v>
      </c>
      <c r="D184" s="468" t="s">
        <v>3905</v>
      </c>
      <c r="E184" s="185" t="str">
        <f t="shared" si="5"/>
        <v>=VLOOKUP("", Data!$B:$D,F1, FALSE)</v>
      </c>
    </row>
    <row r="185" spans="1:5">
      <c r="A185" s="29" t="s">
        <v>1363</v>
      </c>
      <c r="B185" s="29" t="s">
        <v>1364</v>
      </c>
      <c r="D185" s="468" t="s">
        <v>3905</v>
      </c>
      <c r="E185" s="185" t="str">
        <f t="shared" si="5"/>
        <v>=VLOOKUP("", Data!$B:$D,F1, FALSE)</v>
      </c>
    </row>
    <row r="186" spans="1:5">
      <c r="A186" s="29" t="s">
        <v>1363</v>
      </c>
      <c r="B186" s="29" t="s">
        <v>1364</v>
      </c>
      <c r="D186" s="468" t="s">
        <v>3905</v>
      </c>
      <c r="E186" s="185" t="str">
        <f t="shared" si="5"/>
        <v>=VLOOKUP("", Data!$B:$D,F1, FALSE)</v>
      </c>
    </row>
    <row r="187" spans="1:5">
      <c r="A187" s="29" t="s">
        <v>1363</v>
      </c>
      <c r="B187" s="29" t="s">
        <v>1364</v>
      </c>
      <c r="D187" s="468" t="s">
        <v>3905</v>
      </c>
      <c r="E187" s="185" t="str">
        <f t="shared" si="5"/>
        <v>=VLOOKUP("", Data!$B:$D,F1, FALSE)</v>
      </c>
    </row>
    <row r="188" spans="1:5">
      <c r="A188" s="29" t="s">
        <v>1363</v>
      </c>
      <c r="B188" s="29" t="s">
        <v>1364</v>
      </c>
      <c r="D188" s="468" t="s">
        <v>3905</v>
      </c>
      <c r="E188" s="185" t="str">
        <f t="shared" si="5"/>
        <v>=VLOOKUP("", Data!$B:$D,F1, FALSE)</v>
      </c>
    </row>
    <row r="189" spans="1:5">
      <c r="A189" s="29" t="s">
        <v>1363</v>
      </c>
      <c r="B189" s="29" t="s">
        <v>1364</v>
      </c>
      <c r="D189" s="468" t="s">
        <v>3905</v>
      </c>
      <c r="E189" s="185" t="str">
        <f t="shared" si="5"/>
        <v>=VLOOKUP("", Data!$B:$D,F1, FALSE)</v>
      </c>
    </row>
    <row r="190" spans="1:5">
      <c r="A190" s="29" t="s">
        <v>1363</v>
      </c>
      <c r="B190" s="29" t="s">
        <v>1364</v>
      </c>
      <c r="D190" s="468" t="s">
        <v>3905</v>
      </c>
      <c r="E190" s="185" t="str">
        <f t="shared" si="5"/>
        <v>=VLOOKUP("", Data!$B:$D,F1, FALSE)</v>
      </c>
    </row>
    <row r="191" spans="1:5">
      <c r="A191" s="29" t="s">
        <v>1363</v>
      </c>
      <c r="B191" s="29" t="s">
        <v>1364</v>
      </c>
      <c r="D191" s="468" t="s">
        <v>3905</v>
      </c>
      <c r="E191" s="185" t="str">
        <f t="shared" si="5"/>
        <v>=VLOOKUP("", Data!$B:$D,F1, FALSE)</v>
      </c>
    </row>
    <row r="192" spans="1:5">
      <c r="A192" s="29" t="s">
        <v>1363</v>
      </c>
      <c r="B192" s="29" t="s">
        <v>1364</v>
      </c>
      <c r="D192" s="468" t="s">
        <v>3905</v>
      </c>
      <c r="E192" s="185" t="str">
        <f t="shared" si="5"/>
        <v>=VLOOKUP("", Data!$B:$D,F1, FALSE)</v>
      </c>
    </row>
    <row r="193" spans="1:5">
      <c r="A193" s="29" t="s">
        <v>1363</v>
      </c>
      <c r="B193" s="29" t="s">
        <v>1364</v>
      </c>
      <c r="D193" s="468" t="s">
        <v>3905</v>
      </c>
      <c r="E193" s="185" t="str">
        <f t="shared" si="5"/>
        <v>=VLOOKUP("", Data!$B:$D,F1, FALSE)</v>
      </c>
    </row>
    <row r="194" spans="1:5">
      <c r="A194" s="29" t="s">
        <v>1363</v>
      </c>
      <c r="B194" s="29" t="s">
        <v>1364</v>
      </c>
      <c r="D194" s="468" t="s">
        <v>3905</v>
      </c>
      <c r="E194" s="185" t="str">
        <f t="shared" ref="E194:E200" si="6">A194&amp;B194&amp;C194&amp;D194</f>
        <v>=VLOOKUP("", Data!$B:$D,F1, FALSE)</v>
      </c>
    </row>
    <row r="195" spans="1:5">
      <c r="A195" s="29" t="s">
        <v>1363</v>
      </c>
      <c r="B195" s="29" t="s">
        <v>1364</v>
      </c>
      <c r="D195" s="468" t="s">
        <v>3905</v>
      </c>
      <c r="E195" s="185" t="str">
        <f t="shared" si="6"/>
        <v>=VLOOKUP("", Data!$B:$D,F1, FALSE)</v>
      </c>
    </row>
    <row r="196" spans="1:5">
      <c r="A196" s="29" t="s">
        <v>1363</v>
      </c>
      <c r="B196" s="29" t="s">
        <v>1364</v>
      </c>
      <c r="D196" s="468" t="s">
        <v>3905</v>
      </c>
      <c r="E196" s="185" t="str">
        <f t="shared" si="6"/>
        <v>=VLOOKUP("", Data!$B:$D,F1, FALSE)</v>
      </c>
    </row>
    <row r="197" spans="1:5">
      <c r="A197" s="29" t="s">
        <v>1363</v>
      </c>
      <c r="B197" s="29" t="s">
        <v>1364</v>
      </c>
      <c r="D197" s="468" t="s">
        <v>3905</v>
      </c>
      <c r="E197" s="185" t="str">
        <f t="shared" si="6"/>
        <v>=VLOOKUP("", Data!$B:$D,F1, FALSE)</v>
      </c>
    </row>
    <row r="198" spans="1:5">
      <c r="A198" s="29" t="s">
        <v>1363</v>
      </c>
      <c r="B198" s="29" t="s">
        <v>1364</v>
      </c>
      <c r="D198" s="468" t="s">
        <v>3905</v>
      </c>
      <c r="E198" s="185" t="str">
        <f t="shared" si="6"/>
        <v>=VLOOKUP("", Data!$B:$D,F1, FALSE)</v>
      </c>
    </row>
    <row r="199" spans="1:5">
      <c r="A199" s="29" t="s">
        <v>1363</v>
      </c>
      <c r="B199" s="29" t="s">
        <v>1364</v>
      </c>
      <c r="D199" s="468" t="s">
        <v>3905</v>
      </c>
      <c r="E199" s="185" t="str">
        <f t="shared" si="6"/>
        <v>=VLOOKUP("", Data!$B:$D,F1, FALSE)</v>
      </c>
    </row>
    <row r="200" spans="1:5">
      <c r="A200" s="29" t="s">
        <v>1363</v>
      </c>
      <c r="B200" s="29" t="s">
        <v>1364</v>
      </c>
      <c r="D200" s="468" t="s">
        <v>3905</v>
      </c>
      <c r="E200" s="185" t="str">
        <f t="shared" si="6"/>
        <v>=VLOOKUP("", Data!$B:$D,F1, FALSE)</v>
      </c>
    </row>
  </sheetData>
  <mergeCells count="1">
    <mergeCell ref="A1:B1"/>
  </mergeCells>
  <phoneticPr fontId="2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457"/>
  <sheetViews>
    <sheetView workbookViewId="0"/>
  </sheetViews>
  <sheetFormatPr defaultColWidth="8.83203125" defaultRowHeight="15"/>
  <cols>
    <col min="1" max="1" width="44.5" style="612" customWidth="1"/>
    <col min="2" max="2" width="10.58203125" style="612" customWidth="1"/>
    <col min="3" max="3" width="10.9140625" style="648" customWidth="1"/>
    <col min="4" max="5" width="30.58203125" style="649" customWidth="1"/>
    <col min="6" max="6" width="30.58203125" style="612" customWidth="1"/>
    <col min="7" max="7" width="10.1640625" style="649" hidden="1" customWidth="1"/>
    <col min="8" max="8" width="4.6640625" style="612" customWidth="1"/>
    <col min="9" max="11" width="20.58203125" style="612" customWidth="1"/>
    <col min="12" max="16384" width="8.83203125" style="612"/>
  </cols>
  <sheetData>
    <row r="1" spans="1:11" ht="16.5">
      <c r="A1" s="611" t="s">
        <v>6165</v>
      </c>
      <c r="B1" s="943"/>
      <c r="C1" s="943"/>
      <c r="D1" s="943"/>
      <c r="E1" s="943"/>
      <c r="F1" s="943"/>
      <c r="G1" s="943"/>
      <c r="H1" s="943"/>
      <c r="I1" s="943"/>
      <c r="J1" s="943"/>
      <c r="K1" s="943"/>
    </row>
    <row r="2" spans="1:11">
      <c r="A2" s="613" t="s">
        <v>4315</v>
      </c>
      <c r="B2" s="613" t="s">
        <v>6166</v>
      </c>
      <c r="C2" s="613" t="s">
        <v>6167</v>
      </c>
      <c r="D2" s="613" t="s">
        <v>6168</v>
      </c>
      <c r="E2" s="613" t="s">
        <v>6169</v>
      </c>
      <c r="F2" s="613" t="s">
        <v>4316</v>
      </c>
      <c r="G2" s="613" t="s">
        <v>6170</v>
      </c>
      <c r="H2" s="613" t="s">
        <v>6171</v>
      </c>
      <c r="I2" s="613" t="s">
        <v>6172</v>
      </c>
      <c r="J2" s="613" t="s">
        <v>4317</v>
      </c>
      <c r="K2" s="613" t="s">
        <v>6173</v>
      </c>
    </row>
    <row r="3" spans="1:11">
      <c r="A3" s="614" t="s">
        <v>4665</v>
      </c>
      <c r="B3" s="614" t="s">
        <v>6174</v>
      </c>
      <c r="C3" s="615" t="s">
        <v>5193</v>
      </c>
      <c r="D3" s="616" t="s">
        <v>5511</v>
      </c>
      <c r="E3" s="616" t="s">
        <v>5692</v>
      </c>
      <c r="F3" s="617" t="s">
        <v>4666</v>
      </c>
      <c r="G3" s="616"/>
      <c r="H3" s="618" t="s">
        <v>736</v>
      </c>
      <c r="I3" s="618" t="s">
        <v>5161</v>
      </c>
      <c r="J3" s="618" t="s">
        <v>5162</v>
      </c>
      <c r="K3" s="618" t="s">
        <v>6175</v>
      </c>
    </row>
    <row r="4" spans="1:11">
      <c r="A4" s="614" t="s">
        <v>4882</v>
      </c>
      <c r="B4" s="614" t="s">
        <v>6174</v>
      </c>
      <c r="C4" s="619" t="s">
        <v>5253</v>
      </c>
      <c r="D4" s="620" t="s">
        <v>5275</v>
      </c>
      <c r="E4" s="620" t="s">
        <v>5847</v>
      </c>
      <c r="F4" s="621" t="s">
        <v>4883</v>
      </c>
      <c r="G4" s="620"/>
      <c r="H4" s="618" t="s">
        <v>736</v>
      </c>
      <c r="I4" s="618" t="s">
        <v>5161</v>
      </c>
      <c r="J4" s="618" t="s">
        <v>5162</v>
      </c>
      <c r="K4" s="618" t="s">
        <v>6175</v>
      </c>
    </row>
    <row r="5" spans="1:11">
      <c r="A5" s="614" t="s">
        <v>4954</v>
      </c>
      <c r="B5" s="614" t="s">
        <v>6174</v>
      </c>
      <c r="C5" s="619" t="s">
        <v>5253</v>
      </c>
      <c r="D5" s="620" t="s">
        <v>5276</v>
      </c>
      <c r="E5" s="620" t="s">
        <v>5847</v>
      </c>
      <c r="F5" s="621" t="s">
        <v>4955</v>
      </c>
      <c r="G5" s="620"/>
      <c r="H5" s="618" t="s">
        <v>736</v>
      </c>
      <c r="I5" s="618" t="s">
        <v>5161</v>
      </c>
      <c r="J5" s="618" t="s">
        <v>5162</v>
      </c>
      <c r="K5" s="618" t="s">
        <v>6176</v>
      </c>
    </row>
    <row r="6" spans="1:11">
      <c r="A6" s="614" t="s">
        <v>4950</v>
      </c>
      <c r="B6" s="614" t="s">
        <v>6177</v>
      </c>
      <c r="C6" s="619" t="s">
        <v>6178</v>
      </c>
      <c r="D6" s="620" t="s">
        <v>5273</v>
      </c>
      <c r="E6" s="620" t="s">
        <v>5845</v>
      </c>
      <c r="F6" s="621" t="s">
        <v>4951</v>
      </c>
      <c r="G6" s="620"/>
      <c r="H6" s="618" t="s">
        <v>736</v>
      </c>
      <c r="I6" s="618" t="s">
        <v>5161</v>
      </c>
      <c r="J6" s="618" t="s">
        <v>5162</v>
      </c>
      <c r="K6" s="618" t="s">
        <v>6175</v>
      </c>
    </row>
    <row r="7" spans="1:11">
      <c r="A7" s="614" t="s">
        <v>4884</v>
      </c>
      <c r="B7" s="614" t="s">
        <v>6174</v>
      </c>
      <c r="C7" s="619" t="s">
        <v>5253</v>
      </c>
      <c r="D7" s="620" t="s">
        <v>5274</v>
      </c>
      <c r="E7" s="620" t="s">
        <v>5846</v>
      </c>
      <c r="F7" s="621" t="s">
        <v>4885</v>
      </c>
      <c r="G7" s="620"/>
      <c r="H7" s="618" t="s">
        <v>736</v>
      </c>
      <c r="I7" s="618" t="s">
        <v>5161</v>
      </c>
      <c r="J7" s="618" t="s">
        <v>5162</v>
      </c>
      <c r="K7" s="618" t="s">
        <v>6176</v>
      </c>
    </row>
    <row r="8" spans="1:11">
      <c r="A8" s="614" t="s">
        <v>4948</v>
      </c>
      <c r="B8" s="614" t="s">
        <v>6177</v>
      </c>
      <c r="C8" s="619" t="s">
        <v>5253</v>
      </c>
      <c r="D8" s="620" t="s">
        <v>5277</v>
      </c>
      <c r="E8" s="620" t="s">
        <v>5848</v>
      </c>
      <c r="F8" s="621" t="s">
        <v>4949</v>
      </c>
      <c r="G8" s="620"/>
      <c r="H8" s="618" t="s">
        <v>736</v>
      </c>
      <c r="I8" s="618" t="s">
        <v>5161</v>
      </c>
      <c r="J8" s="618" t="s">
        <v>5162</v>
      </c>
      <c r="K8" s="618" t="s">
        <v>6175</v>
      </c>
    </row>
    <row r="9" spans="1:11">
      <c r="A9" s="614" t="s">
        <v>4952</v>
      </c>
      <c r="B9" s="614" t="s">
        <v>6177</v>
      </c>
      <c r="C9" s="619" t="s">
        <v>5253</v>
      </c>
      <c r="D9" s="620" t="s">
        <v>5278</v>
      </c>
      <c r="E9" s="620" t="s">
        <v>5849</v>
      </c>
      <c r="F9" s="621" t="s">
        <v>4953</v>
      </c>
      <c r="G9" s="620"/>
      <c r="H9" s="618" t="s">
        <v>736</v>
      </c>
      <c r="I9" s="618" t="s">
        <v>5161</v>
      </c>
      <c r="J9" s="618" t="s">
        <v>5162</v>
      </c>
      <c r="K9" s="618" t="s">
        <v>6175</v>
      </c>
    </row>
    <row r="10" spans="1:11">
      <c r="A10" s="614" t="s">
        <v>6465</v>
      </c>
      <c r="B10" s="614" t="s">
        <v>6174</v>
      </c>
      <c r="C10" s="619" t="s">
        <v>5253</v>
      </c>
      <c r="D10" s="620" t="s">
        <v>6464</v>
      </c>
      <c r="E10" s="620" t="s">
        <v>6179</v>
      </c>
      <c r="F10" s="620" t="s">
        <v>6180</v>
      </c>
      <c r="G10" s="622"/>
      <c r="H10" s="618" t="s">
        <v>736</v>
      </c>
      <c r="I10" s="623" t="s">
        <v>1274</v>
      </c>
      <c r="J10" s="623" t="s">
        <v>6181</v>
      </c>
      <c r="K10" s="623" t="s">
        <v>6182</v>
      </c>
    </row>
    <row r="11" spans="1:11">
      <c r="A11" s="614" t="s">
        <v>6467</v>
      </c>
      <c r="B11" s="614" t="s">
        <v>6177</v>
      </c>
      <c r="C11" s="619" t="s">
        <v>5253</v>
      </c>
      <c r="D11" s="620" t="s">
        <v>6183</v>
      </c>
      <c r="E11" s="620" t="s">
        <v>6184</v>
      </c>
      <c r="F11" s="620" t="s">
        <v>6466</v>
      </c>
      <c r="G11" s="622"/>
      <c r="H11" s="618" t="s">
        <v>736</v>
      </c>
      <c r="I11" s="623" t="s">
        <v>1274</v>
      </c>
      <c r="J11" s="623" t="s">
        <v>6181</v>
      </c>
      <c r="K11" s="623" t="s">
        <v>6182</v>
      </c>
    </row>
    <row r="12" spans="1:11">
      <c r="A12" s="614" t="s">
        <v>6468</v>
      </c>
      <c r="B12" s="614" t="s">
        <v>6177</v>
      </c>
      <c r="C12" s="619" t="s">
        <v>5253</v>
      </c>
      <c r="D12" s="620" t="s">
        <v>6185</v>
      </c>
      <c r="E12" s="620" t="s">
        <v>6186</v>
      </c>
      <c r="F12" s="620" t="s">
        <v>6187</v>
      </c>
      <c r="G12" s="622"/>
      <c r="H12" s="618" t="s">
        <v>736</v>
      </c>
      <c r="I12" s="623" t="s">
        <v>1274</v>
      </c>
      <c r="J12" s="623" t="s">
        <v>6181</v>
      </c>
      <c r="K12" s="623" t="s">
        <v>6182</v>
      </c>
    </row>
    <row r="13" spans="1:11">
      <c r="A13" s="614" t="s">
        <v>6470</v>
      </c>
      <c r="B13" s="614" t="s">
        <v>6174</v>
      </c>
      <c r="C13" s="619" t="s">
        <v>5253</v>
      </c>
      <c r="D13" s="620" t="s">
        <v>6188</v>
      </c>
      <c r="E13" s="620" t="s">
        <v>6189</v>
      </c>
      <c r="F13" s="620" t="s">
        <v>6469</v>
      </c>
      <c r="G13" s="622"/>
      <c r="H13" s="618" t="s">
        <v>736</v>
      </c>
      <c r="I13" s="623" t="s">
        <v>1274</v>
      </c>
      <c r="J13" s="623" t="s">
        <v>6181</v>
      </c>
      <c r="K13" s="623" t="s">
        <v>6182</v>
      </c>
    </row>
    <row r="14" spans="1:11">
      <c r="A14" s="614" t="s">
        <v>6472</v>
      </c>
      <c r="B14" s="614" t="s">
        <v>6177</v>
      </c>
      <c r="C14" s="619" t="s">
        <v>5253</v>
      </c>
      <c r="D14" s="620" t="s">
        <v>6190</v>
      </c>
      <c r="E14" s="620" t="s">
        <v>6191</v>
      </c>
      <c r="F14" s="620" t="s">
        <v>6471</v>
      </c>
      <c r="G14" s="622"/>
      <c r="H14" s="618" t="s">
        <v>736</v>
      </c>
      <c r="I14" s="623" t="s">
        <v>1274</v>
      </c>
      <c r="J14" s="623" t="s">
        <v>6181</v>
      </c>
      <c r="K14" s="623" t="s">
        <v>6182</v>
      </c>
    </row>
    <row r="15" spans="1:11">
      <c r="A15" s="614" t="s">
        <v>6474</v>
      </c>
      <c r="B15" s="614" t="s">
        <v>6177</v>
      </c>
      <c r="C15" s="619" t="s">
        <v>5253</v>
      </c>
      <c r="D15" s="620" t="s">
        <v>6192</v>
      </c>
      <c r="E15" s="620" t="s">
        <v>6193</v>
      </c>
      <c r="F15" s="620" t="s">
        <v>6473</v>
      </c>
      <c r="G15" s="622"/>
      <c r="H15" s="618" t="s">
        <v>736</v>
      </c>
      <c r="I15" s="623" t="s">
        <v>1274</v>
      </c>
      <c r="J15" s="623" t="s">
        <v>6181</v>
      </c>
      <c r="K15" s="623" t="s">
        <v>6182</v>
      </c>
    </row>
    <row r="16" spans="1:11">
      <c r="A16" s="614" t="s">
        <v>6476</v>
      </c>
      <c r="B16" s="614" t="s">
        <v>6177</v>
      </c>
      <c r="C16" s="619" t="s">
        <v>5253</v>
      </c>
      <c r="D16" s="620" t="s">
        <v>6194</v>
      </c>
      <c r="E16" s="620" t="s">
        <v>6195</v>
      </c>
      <c r="F16" s="620" t="s">
        <v>6475</v>
      </c>
      <c r="G16" s="622"/>
      <c r="H16" s="618" t="s">
        <v>736</v>
      </c>
      <c r="I16" s="623" t="s">
        <v>1274</v>
      </c>
      <c r="J16" s="623" t="s">
        <v>6181</v>
      </c>
      <c r="K16" s="623" t="s">
        <v>6182</v>
      </c>
    </row>
    <row r="17" spans="1:11">
      <c r="A17" s="614" t="s">
        <v>6478</v>
      </c>
      <c r="B17" s="614" t="s">
        <v>6177</v>
      </c>
      <c r="C17" s="619" t="s">
        <v>5253</v>
      </c>
      <c r="D17" s="620" t="s">
        <v>6196</v>
      </c>
      <c r="E17" s="620" t="s">
        <v>6197</v>
      </c>
      <c r="F17" s="620" t="s">
        <v>6477</v>
      </c>
      <c r="G17" s="622"/>
      <c r="H17" s="618" t="s">
        <v>736</v>
      </c>
      <c r="I17" s="623" t="s">
        <v>1274</v>
      </c>
      <c r="J17" s="623" t="s">
        <v>6181</v>
      </c>
      <c r="K17" s="623" t="s">
        <v>6182</v>
      </c>
    </row>
    <row r="18" spans="1:11">
      <c r="A18" s="614" t="s">
        <v>5019</v>
      </c>
      <c r="B18" s="614" t="s">
        <v>6177</v>
      </c>
      <c r="C18" s="615" t="s">
        <v>5193</v>
      </c>
      <c r="D18" s="616" t="s">
        <v>5512</v>
      </c>
      <c r="E18" s="616" t="s">
        <v>5677</v>
      </c>
      <c r="F18" s="617" t="s">
        <v>5020</v>
      </c>
      <c r="G18" s="616"/>
      <c r="H18" s="618" t="s">
        <v>736</v>
      </c>
      <c r="I18" s="618" t="s">
        <v>1257</v>
      </c>
      <c r="J18" s="618" t="s">
        <v>1518</v>
      </c>
      <c r="K18" s="618" t="s">
        <v>1258</v>
      </c>
    </row>
    <row r="19" spans="1:11">
      <c r="A19" s="614" t="s">
        <v>4770</v>
      </c>
      <c r="B19" s="614" t="s">
        <v>6177</v>
      </c>
      <c r="C19" s="619" t="s">
        <v>5253</v>
      </c>
      <c r="D19" s="620" t="s">
        <v>5279</v>
      </c>
      <c r="E19" s="620" t="s">
        <v>5813</v>
      </c>
      <c r="F19" s="621" t="s">
        <v>4771</v>
      </c>
      <c r="G19" s="620"/>
      <c r="H19" s="618" t="s">
        <v>736</v>
      </c>
      <c r="I19" s="618" t="s">
        <v>1257</v>
      </c>
      <c r="J19" s="618" t="s">
        <v>1518</v>
      </c>
      <c r="K19" s="618" t="s">
        <v>1258</v>
      </c>
    </row>
    <row r="20" spans="1:11">
      <c r="A20" s="614" t="s">
        <v>4768</v>
      </c>
      <c r="B20" s="614" t="s">
        <v>6177</v>
      </c>
      <c r="C20" s="619" t="s">
        <v>5253</v>
      </c>
      <c r="D20" s="620" t="s">
        <v>6198</v>
      </c>
      <c r="E20" s="620" t="s">
        <v>5817</v>
      </c>
      <c r="F20" s="621" t="s">
        <v>4769</v>
      </c>
      <c r="G20" s="620"/>
      <c r="H20" s="618" t="s">
        <v>736</v>
      </c>
      <c r="I20" s="618" t="s">
        <v>1257</v>
      </c>
      <c r="J20" s="618" t="s">
        <v>1518</v>
      </c>
      <c r="K20" s="618" t="s">
        <v>1258</v>
      </c>
    </row>
    <row r="21" spans="1:11">
      <c r="A21" s="614" t="s">
        <v>4772</v>
      </c>
      <c r="B21" s="614" t="s">
        <v>6174</v>
      </c>
      <c r="C21" s="619" t="s">
        <v>5253</v>
      </c>
      <c r="D21" s="620" t="s">
        <v>5280</v>
      </c>
      <c r="E21" s="620" t="s">
        <v>5814</v>
      </c>
      <c r="F21" s="621" t="s">
        <v>4773</v>
      </c>
      <c r="G21" s="620"/>
      <c r="H21" s="618" t="s">
        <v>736</v>
      </c>
      <c r="I21" s="618" t="s">
        <v>1257</v>
      </c>
      <c r="J21" s="618" t="s">
        <v>1518</v>
      </c>
      <c r="K21" s="618" t="s">
        <v>1258</v>
      </c>
    </row>
    <row r="22" spans="1:11">
      <c r="A22" s="614" t="s">
        <v>4776</v>
      </c>
      <c r="B22" s="614" t="s">
        <v>6177</v>
      </c>
      <c r="C22" s="619" t="s">
        <v>5253</v>
      </c>
      <c r="D22" s="620" t="s">
        <v>6199</v>
      </c>
      <c r="E22" s="620" t="s">
        <v>5816</v>
      </c>
      <c r="F22" s="621" t="s">
        <v>4777</v>
      </c>
      <c r="G22" s="620"/>
      <c r="H22" s="618" t="s">
        <v>736</v>
      </c>
      <c r="I22" s="618" t="s">
        <v>3</v>
      </c>
      <c r="J22" s="618" t="s">
        <v>5159</v>
      </c>
      <c r="K22" s="618" t="s">
        <v>6200</v>
      </c>
    </row>
    <row r="23" spans="1:11">
      <c r="A23" s="614" t="s">
        <v>4774</v>
      </c>
      <c r="B23" s="614" t="s">
        <v>6177</v>
      </c>
      <c r="C23" s="619" t="s">
        <v>5253</v>
      </c>
      <c r="D23" s="620" t="s">
        <v>5282</v>
      </c>
      <c r="E23" s="620" t="s">
        <v>5811</v>
      </c>
      <c r="F23" s="621" t="s">
        <v>4775</v>
      </c>
      <c r="G23" s="620"/>
      <c r="H23" s="618" t="s">
        <v>736</v>
      </c>
      <c r="I23" s="618" t="s">
        <v>3</v>
      </c>
      <c r="J23" s="618" t="s">
        <v>5159</v>
      </c>
      <c r="K23" s="618" t="s">
        <v>6200</v>
      </c>
    </row>
    <row r="24" spans="1:11">
      <c r="A24" s="614" t="s">
        <v>4778</v>
      </c>
      <c r="B24" s="614" t="s">
        <v>6177</v>
      </c>
      <c r="C24" s="619" t="s">
        <v>5253</v>
      </c>
      <c r="D24" s="620" t="s">
        <v>5281</v>
      </c>
      <c r="E24" s="620" t="s">
        <v>5809</v>
      </c>
      <c r="F24" s="621" t="s">
        <v>4779</v>
      </c>
      <c r="G24" s="620"/>
      <c r="H24" s="618" t="s">
        <v>736</v>
      </c>
      <c r="I24" s="618" t="s">
        <v>3</v>
      </c>
      <c r="J24" s="618" t="s">
        <v>5159</v>
      </c>
      <c r="K24" s="618" t="s">
        <v>6201</v>
      </c>
    </row>
    <row r="25" spans="1:11">
      <c r="A25" s="614" t="s">
        <v>5021</v>
      </c>
      <c r="B25" s="614" t="s">
        <v>6177</v>
      </c>
      <c r="C25" s="615" t="s">
        <v>5193</v>
      </c>
      <c r="D25" s="616" t="s">
        <v>5513</v>
      </c>
      <c r="E25" s="616" t="s">
        <v>5676</v>
      </c>
      <c r="F25" s="617" t="s">
        <v>5022</v>
      </c>
      <c r="G25" s="616"/>
      <c r="H25" s="618" t="s">
        <v>736</v>
      </c>
      <c r="I25" s="618" t="s">
        <v>1254</v>
      </c>
      <c r="J25" s="618" t="s">
        <v>5158</v>
      </c>
      <c r="K25" s="618" t="s">
        <v>1255</v>
      </c>
    </row>
    <row r="26" spans="1:11">
      <c r="A26" s="614" t="s">
        <v>4764</v>
      </c>
      <c r="B26" s="614" t="s">
        <v>6202</v>
      </c>
      <c r="C26" s="619" t="s">
        <v>5253</v>
      </c>
      <c r="D26" s="620" t="s">
        <v>5283</v>
      </c>
      <c r="E26" s="620" t="s">
        <v>5810</v>
      </c>
      <c r="F26" s="621" t="s">
        <v>4765</v>
      </c>
      <c r="G26" s="620"/>
      <c r="H26" s="618" t="s">
        <v>736</v>
      </c>
      <c r="I26" s="618" t="s">
        <v>1254</v>
      </c>
      <c r="J26" s="618" t="s">
        <v>5158</v>
      </c>
      <c r="K26" s="618" t="s">
        <v>6203</v>
      </c>
    </row>
    <row r="27" spans="1:11">
      <c r="A27" s="614" t="s">
        <v>4766</v>
      </c>
      <c r="B27" s="614" t="s">
        <v>6177</v>
      </c>
      <c r="C27" s="619" t="s">
        <v>5253</v>
      </c>
      <c r="D27" s="620" t="s">
        <v>5284</v>
      </c>
      <c r="E27" s="620" t="s">
        <v>5815</v>
      </c>
      <c r="F27" s="621" t="s">
        <v>4767</v>
      </c>
      <c r="G27" s="620"/>
      <c r="H27" s="618" t="s">
        <v>736</v>
      </c>
      <c r="I27" s="618" t="s">
        <v>1254</v>
      </c>
      <c r="J27" s="618" t="s">
        <v>5158</v>
      </c>
      <c r="K27" s="618" t="s">
        <v>6204</v>
      </c>
    </row>
    <row r="28" spans="1:11">
      <c r="A28" s="614" t="s">
        <v>4762</v>
      </c>
      <c r="B28" s="614" t="s">
        <v>6177</v>
      </c>
      <c r="C28" s="619" t="s">
        <v>5253</v>
      </c>
      <c r="D28" s="620" t="s">
        <v>5285</v>
      </c>
      <c r="E28" s="620" t="s">
        <v>5819</v>
      </c>
      <c r="F28" s="621" t="s">
        <v>4763</v>
      </c>
      <c r="G28" s="620"/>
      <c r="H28" s="618" t="s">
        <v>736</v>
      </c>
      <c r="I28" s="618" t="s">
        <v>1254</v>
      </c>
      <c r="J28" s="618" t="s">
        <v>5158</v>
      </c>
      <c r="K28" s="618" t="s">
        <v>1255</v>
      </c>
    </row>
    <row r="29" spans="1:11">
      <c r="A29" s="614" t="s">
        <v>4576</v>
      </c>
      <c r="B29" s="614" t="s">
        <v>6177</v>
      </c>
      <c r="C29" s="615" t="s">
        <v>5193</v>
      </c>
      <c r="D29" s="616" t="s">
        <v>5515</v>
      </c>
      <c r="E29" s="616" t="s">
        <v>5679</v>
      </c>
      <c r="F29" s="617" t="s">
        <v>4577</v>
      </c>
      <c r="G29" s="616"/>
      <c r="H29" s="618" t="s">
        <v>736</v>
      </c>
      <c r="I29" s="618" t="s">
        <v>1265</v>
      </c>
      <c r="J29" s="618" t="s">
        <v>5167</v>
      </c>
      <c r="K29" s="618" t="s">
        <v>6205</v>
      </c>
    </row>
    <row r="30" spans="1:11">
      <c r="A30" s="614" t="s">
        <v>4574</v>
      </c>
      <c r="B30" s="614" t="s">
        <v>6177</v>
      </c>
      <c r="C30" s="615" t="s">
        <v>5193</v>
      </c>
      <c r="D30" s="616" t="s">
        <v>5514</v>
      </c>
      <c r="E30" s="616" t="s">
        <v>5678</v>
      </c>
      <c r="F30" s="617" t="s">
        <v>4575</v>
      </c>
      <c r="G30" s="616"/>
      <c r="H30" s="618" t="s">
        <v>736</v>
      </c>
      <c r="I30" s="618" t="s">
        <v>1265</v>
      </c>
      <c r="J30" s="618" t="s">
        <v>5167</v>
      </c>
      <c r="K30" s="618" t="s">
        <v>6206</v>
      </c>
    </row>
    <row r="31" spans="1:11">
      <c r="A31" s="614" t="s">
        <v>4528</v>
      </c>
      <c r="B31" s="614" t="s">
        <v>6174</v>
      </c>
      <c r="C31" s="619" t="s">
        <v>5253</v>
      </c>
      <c r="D31" s="620" t="s">
        <v>5286</v>
      </c>
      <c r="E31" s="620" t="s">
        <v>5821</v>
      </c>
      <c r="F31" s="621" t="s">
        <v>4529</v>
      </c>
      <c r="G31" s="620"/>
      <c r="H31" s="618" t="s">
        <v>736</v>
      </c>
      <c r="I31" s="618" t="s">
        <v>1265</v>
      </c>
      <c r="J31" s="618" t="s">
        <v>5167</v>
      </c>
      <c r="K31" s="618" t="s">
        <v>6206</v>
      </c>
    </row>
    <row r="32" spans="1:11">
      <c r="A32" s="614" t="s">
        <v>4526</v>
      </c>
      <c r="B32" s="614" t="s">
        <v>6177</v>
      </c>
      <c r="C32" s="619" t="s">
        <v>5253</v>
      </c>
      <c r="D32" s="620" t="s">
        <v>5290</v>
      </c>
      <c r="E32" s="620" t="s">
        <v>5820</v>
      </c>
      <c r="F32" s="621" t="s">
        <v>4527</v>
      </c>
      <c r="G32" s="620"/>
      <c r="H32" s="618" t="s">
        <v>736</v>
      </c>
      <c r="I32" s="618" t="s">
        <v>1265</v>
      </c>
      <c r="J32" s="618" t="s">
        <v>5167</v>
      </c>
      <c r="K32" s="618" t="s">
        <v>6206</v>
      </c>
    </row>
    <row r="33" spans="1:11">
      <c r="A33" s="614" t="s">
        <v>4522</v>
      </c>
      <c r="B33" s="614" t="s">
        <v>6177</v>
      </c>
      <c r="C33" s="619" t="s">
        <v>5253</v>
      </c>
      <c r="D33" s="620" t="s">
        <v>5287</v>
      </c>
      <c r="E33" s="620" t="s">
        <v>5822</v>
      </c>
      <c r="F33" s="621" t="s">
        <v>4523</v>
      </c>
      <c r="G33" s="620"/>
      <c r="H33" s="618" t="s">
        <v>736</v>
      </c>
      <c r="I33" s="618" t="s">
        <v>1265</v>
      </c>
      <c r="J33" s="618" t="s">
        <v>5167</v>
      </c>
      <c r="K33" s="618" t="s">
        <v>6205</v>
      </c>
    </row>
    <row r="34" spans="1:11">
      <c r="A34" s="614" t="s">
        <v>4524</v>
      </c>
      <c r="B34" s="614" t="s">
        <v>6177</v>
      </c>
      <c r="C34" s="619" t="s">
        <v>5253</v>
      </c>
      <c r="D34" s="620" t="s">
        <v>5288</v>
      </c>
      <c r="E34" s="620" t="s">
        <v>5823</v>
      </c>
      <c r="F34" s="621" t="s">
        <v>4525</v>
      </c>
      <c r="G34" s="620"/>
      <c r="H34" s="618" t="s">
        <v>736</v>
      </c>
      <c r="I34" s="618" t="s">
        <v>1265</v>
      </c>
      <c r="J34" s="618" t="s">
        <v>5167</v>
      </c>
      <c r="K34" s="618" t="s">
        <v>6206</v>
      </c>
    </row>
    <row r="35" spans="1:11">
      <c r="A35" s="614" t="s">
        <v>4782</v>
      </c>
      <c r="B35" s="614" t="s">
        <v>6177</v>
      </c>
      <c r="C35" s="619" t="s">
        <v>5253</v>
      </c>
      <c r="D35" s="620" t="s">
        <v>5291</v>
      </c>
      <c r="E35" s="620" t="s">
        <v>5812</v>
      </c>
      <c r="F35" s="621" t="s">
        <v>4783</v>
      </c>
      <c r="G35" s="620"/>
      <c r="H35" s="618" t="s">
        <v>736</v>
      </c>
      <c r="I35" s="618" t="s">
        <v>5135</v>
      </c>
      <c r="J35" s="618" t="s">
        <v>5136</v>
      </c>
      <c r="K35" s="618" t="s">
        <v>6207</v>
      </c>
    </row>
    <row r="36" spans="1:11">
      <c r="A36" s="614" t="s">
        <v>4780</v>
      </c>
      <c r="B36" s="614" t="s">
        <v>6177</v>
      </c>
      <c r="C36" s="619" t="s">
        <v>5253</v>
      </c>
      <c r="D36" s="620" t="s">
        <v>5292</v>
      </c>
      <c r="E36" s="620" t="s">
        <v>5818</v>
      </c>
      <c r="F36" s="621" t="s">
        <v>4781</v>
      </c>
      <c r="G36" s="620"/>
      <c r="H36" s="618" t="s">
        <v>736</v>
      </c>
      <c r="I36" s="618" t="s">
        <v>5135</v>
      </c>
      <c r="J36" s="618" t="s">
        <v>5136</v>
      </c>
      <c r="K36" s="618" t="s">
        <v>6207</v>
      </c>
    </row>
    <row r="37" spans="1:11">
      <c r="A37" s="614" t="s">
        <v>4760</v>
      </c>
      <c r="B37" s="614" t="s">
        <v>6174</v>
      </c>
      <c r="C37" s="624" t="s">
        <v>5254</v>
      </c>
      <c r="D37" s="625" t="s">
        <v>5257</v>
      </c>
      <c r="E37" s="625" t="s">
        <v>5781</v>
      </c>
      <c r="F37" s="625" t="s">
        <v>4761</v>
      </c>
      <c r="G37" s="626"/>
      <c r="H37" s="618" t="s">
        <v>736</v>
      </c>
      <c r="I37" s="618" t="s">
        <v>5135</v>
      </c>
      <c r="J37" s="618" t="s">
        <v>5136</v>
      </c>
      <c r="K37" s="618" t="s">
        <v>6207</v>
      </c>
    </row>
    <row r="38" spans="1:11">
      <c r="A38" s="614" t="s">
        <v>5013</v>
      </c>
      <c r="B38" s="614" t="s">
        <v>6177</v>
      </c>
      <c r="C38" s="615" t="s">
        <v>5193</v>
      </c>
      <c r="D38" s="616" t="s">
        <v>5516</v>
      </c>
      <c r="E38" s="616" t="s">
        <v>5695</v>
      </c>
      <c r="F38" s="617" t="s">
        <v>5014</v>
      </c>
      <c r="G38" s="616"/>
      <c r="H38" s="618" t="s">
        <v>736</v>
      </c>
      <c r="I38" s="618" t="s">
        <v>5163</v>
      </c>
      <c r="J38" s="618" t="s">
        <v>5164</v>
      </c>
      <c r="K38" s="618" t="s">
        <v>6208</v>
      </c>
    </row>
    <row r="39" spans="1:11">
      <c r="A39" s="614" t="s">
        <v>4337</v>
      </c>
      <c r="B39" s="614" t="s">
        <v>6177</v>
      </c>
      <c r="C39" s="627" t="s">
        <v>5194</v>
      </c>
      <c r="D39" s="628" t="s">
        <v>6209</v>
      </c>
      <c r="E39" s="628" t="s">
        <v>5636</v>
      </c>
      <c r="F39" s="628" t="s">
        <v>4338</v>
      </c>
      <c r="G39" s="628"/>
      <c r="H39" s="618" t="s">
        <v>736</v>
      </c>
      <c r="I39" s="618" t="s">
        <v>1267</v>
      </c>
      <c r="J39" s="618" t="s">
        <v>5166</v>
      </c>
      <c r="K39" s="618" t="s">
        <v>6210</v>
      </c>
    </row>
    <row r="40" spans="1:11">
      <c r="A40" s="614" t="s">
        <v>5063</v>
      </c>
      <c r="B40" s="614" t="s">
        <v>6177</v>
      </c>
      <c r="C40" s="629" t="s">
        <v>5255</v>
      </c>
      <c r="D40" s="630" t="s">
        <v>6211</v>
      </c>
      <c r="E40" s="630" t="s">
        <v>5661</v>
      </c>
      <c r="F40" s="630" t="s">
        <v>5064</v>
      </c>
      <c r="G40" s="630" t="s">
        <v>6211</v>
      </c>
      <c r="H40" s="618" t="s">
        <v>736</v>
      </c>
      <c r="I40" s="618" t="s">
        <v>1267</v>
      </c>
      <c r="J40" s="618" t="s">
        <v>5166</v>
      </c>
      <c r="K40" s="618" t="s">
        <v>6210</v>
      </c>
    </row>
    <row r="41" spans="1:11">
      <c r="A41" s="614" t="s">
        <v>4987</v>
      </c>
      <c r="B41" s="614" t="s">
        <v>6177</v>
      </c>
      <c r="C41" s="619" t="s">
        <v>5253</v>
      </c>
      <c r="D41" s="620" t="s">
        <v>5293</v>
      </c>
      <c r="E41" s="620" t="s">
        <v>5865</v>
      </c>
      <c r="F41" s="621" t="s">
        <v>4988</v>
      </c>
      <c r="G41" s="620"/>
      <c r="H41" s="618" t="s">
        <v>736</v>
      </c>
      <c r="I41" s="618" t="s">
        <v>1267</v>
      </c>
      <c r="J41" s="618" t="s">
        <v>5166</v>
      </c>
      <c r="K41" s="618" t="s">
        <v>6210</v>
      </c>
    </row>
    <row r="42" spans="1:11">
      <c r="A42" s="614" t="s">
        <v>4985</v>
      </c>
      <c r="B42" s="614" t="s">
        <v>6174</v>
      </c>
      <c r="C42" s="619" t="s">
        <v>5253</v>
      </c>
      <c r="D42" s="620" t="s">
        <v>5294</v>
      </c>
      <c r="E42" s="620" t="s">
        <v>5864</v>
      </c>
      <c r="F42" s="621" t="s">
        <v>4986</v>
      </c>
      <c r="G42" s="620"/>
      <c r="H42" s="618" t="s">
        <v>736</v>
      </c>
      <c r="I42" s="618" t="s">
        <v>1267</v>
      </c>
      <c r="J42" s="618" t="s">
        <v>5166</v>
      </c>
      <c r="K42" s="618" t="s">
        <v>6210</v>
      </c>
    </row>
    <row r="43" spans="1:11">
      <c r="A43" s="614" t="s">
        <v>4339</v>
      </c>
      <c r="B43" s="614" t="s">
        <v>6174</v>
      </c>
      <c r="C43" s="619" t="s">
        <v>5253</v>
      </c>
      <c r="D43" s="620" t="s">
        <v>5295</v>
      </c>
      <c r="E43" s="620" t="s">
        <v>5866</v>
      </c>
      <c r="F43" s="621" t="s">
        <v>4340</v>
      </c>
      <c r="G43" s="620"/>
      <c r="H43" s="618" t="s">
        <v>736</v>
      </c>
      <c r="I43" s="618" t="s">
        <v>1267</v>
      </c>
      <c r="J43" s="618" t="s">
        <v>5166</v>
      </c>
      <c r="K43" s="618" t="s">
        <v>6210</v>
      </c>
    </row>
    <row r="44" spans="1:11">
      <c r="A44" s="614" t="s">
        <v>4530</v>
      </c>
      <c r="B44" s="614" t="s">
        <v>6177</v>
      </c>
      <c r="C44" s="619" t="s">
        <v>5253</v>
      </c>
      <c r="D44" s="620" t="s">
        <v>5296</v>
      </c>
      <c r="E44" s="620" t="s">
        <v>5867</v>
      </c>
      <c r="F44" s="621" t="s">
        <v>4531</v>
      </c>
      <c r="G44" s="620"/>
      <c r="H44" s="618" t="s">
        <v>736</v>
      </c>
      <c r="I44" s="618" t="s">
        <v>1267</v>
      </c>
      <c r="J44" s="618" t="s">
        <v>5166</v>
      </c>
      <c r="K44" s="618" t="s">
        <v>6212</v>
      </c>
    </row>
    <row r="45" spans="1:11" s="631" customFormat="1" ht="14.5">
      <c r="A45" s="622" t="s">
        <v>6480</v>
      </c>
      <c r="B45" s="614" t="s">
        <v>6177</v>
      </c>
      <c r="C45" s="619" t="s">
        <v>5253</v>
      </c>
      <c r="D45" s="620" t="s">
        <v>6213</v>
      </c>
      <c r="E45" s="620" t="s">
        <v>6214</v>
      </c>
      <c r="F45" s="620" t="s">
        <v>6479</v>
      </c>
      <c r="G45" s="622"/>
      <c r="H45" s="618" t="s">
        <v>736</v>
      </c>
      <c r="I45" s="618" t="s">
        <v>1267</v>
      </c>
      <c r="J45" s="618" t="s">
        <v>5166</v>
      </c>
      <c r="K45" s="618" t="s">
        <v>6210</v>
      </c>
    </row>
    <row r="46" spans="1:11">
      <c r="A46" s="614" t="s">
        <v>4511</v>
      </c>
      <c r="B46" s="614" t="s">
        <v>6177</v>
      </c>
      <c r="C46" s="627" t="s">
        <v>5194</v>
      </c>
      <c r="D46" s="628" t="s">
        <v>6215</v>
      </c>
      <c r="E46" s="628" t="s">
        <v>5633</v>
      </c>
      <c r="F46" s="628" t="s">
        <v>4512</v>
      </c>
      <c r="G46" s="628"/>
      <c r="H46" s="618" t="s">
        <v>736</v>
      </c>
      <c r="I46" s="618" t="s">
        <v>1269</v>
      </c>
      <c r="J46" s="618" t="s">
        <v>1515</v>
      </c>
      <c r="K46" s="618" t="s">
        <v>6216</v>
      </c>
    </row>
    <row r="47" spans="1:11">
      <c r="A47" s="614" t="s">
        <v>4341</v>
      </c>
      <c r="B47" s="614" t="s">
        <v>6177</v>
      </c>
      <c r="C47" s="627" t="s">
        <v>5194</v>
      </c>
      <c r="D47" s="628" t="s">
        <v>6217</v>
      </c>
      <c r="E47" s="628" t="s">
        <v>5634</v>
      </c>
      <c r="F47" s="628" t="s">
        <v>4342</v>
      </c>
      <c r="G47" s="628"/>
      <c r="H47" s="618" t="s">
        <v>736</v>
      </c>
      <c r="I47" s="618" t="s">
        <v>1269</v>
      </c>
      <c r="J47" s="618" t="s">
        <v>1515</v>
      </c>
      <c r="K47" s="618" t="s">
        <v>6218</v>
      </c>
    </row>
    <row r="48" spans="1:11">
      <c r="A48" s="614" t="s">
        <v>4505</v>
      </c>
      <c r="B48" s="614" t="s">
        <v>6177</v>
      </c>
      <c r="C48" s="615" t="s">
        <v>5193</v>
      </c>
      <c r="D48" s="616" t="s">
        <v>5521</v>
      </c>
      <c r="E48" s="616" t="s">
        <v>5683</v>
      </c>
      <c r="F48" s="617" t="s">
        <v>4506</v>
      </c>
      <c r="G48" s="616"/>
      <c r="H48" s="618" t="s">
        <v>736</v>
      </c>
      <c r="I48" s="618" t="s">
        <v>1269</v>
      </c>
      <c r="J48" s="618" t="s">
        <v>1515</v>
      </c>
      <c r="K48" s="618" t="s">
        <v>6218</v>
      </c>
    </row>
    <row r="49" spans="1:11">
      <c r="A49" s="614" t="s">
        <v>4345</v>
      </c>
      <c r="B49" s="614" t="s">
        <v>6177</v>
      </c>
      <c r="C49" s="615" t="s">
        <v>5193</v>
      </c>
      <c r="D49" s="616" t="s">
        <v>5518</v>
      </c>
      <c r="E49" s="616" t="s">
        <v>5685</v>
      </c>
      <c r="F49" s="617" t="s">
        <v>4346</v>
      </c>
      <c r="G49" s="616"/>
      <c r="H49" s="618" t="s">
        <v>736</v>
      </c>
      <c r="I49" s="618" t="s">
        <v>1269</v>
      </c>
      <c r="J49" s="618" t="s">
        <v>1515</v>
      </c>
      <c r="K49" s="618" t="s">
        <v>6218</v>
      </c>
    </row>
    <row r="50" spans="1:11">
      <c r="A50" s="614" t="s">
        <v>4509</v>
      </c>
      <c r="B50" s="614" t="s">
        <v>6177</v>
      </c>
      <c r="C50" s="615" t="s">
        <v>5193</v>
      </c>
      <c r="D50" s="616" t="s">
        <v>5517</v>
      </c>
      <c r="E50" s="616" t="s">
        <v>5684</v>
      </c>
      <c r="F50" s="617" t="s">
        <v>4510</v>
      </c>
      <c r="G50" s="616"/>
      <c r="H50" s="618" t="s">
        <v>736</v>
      </c>
      <c r="I50" s="618" t="s">
        <v>1269</v>
      </c>
      <c r="J50" s="618" t="s">
        <v>1515</v>
      </c>
      <c r="K50" s="618" t="s">
        <v>6218</v>
      </c>
    </row>
    <row r="51" spans="1:11">
      <c r="A51" s="614" t="s">
        <v>4507</v>
      </c>
      <c r="B51" s="614" t="s">
        <v>6174</v>
      </c>
      <c r="C51" s="615" t="s">
        <v>5193</v>
      </c>
      <c r="D51" s="616" t="s">
        <v>5522</v>
      </c>
      <c r="E51" s="616" t="s">
        <v>5687</v>
      </c>
      <c r="F51" s="617" t="s">
        <v>4508</v>
      </c>
      <c r="G51" s="616"/>
      <c r="H51" s="618" t="s">
        <v>736</v>
      </c>
      <c r="I51" s="618" t="s">
        <v>1269</v>
      </c>
      <c r="J51" s="618" t="s">
        <v>1515</v>
      </c>
      <c r="K51" s="618" t="s">
        <v>6218</v>
      </c>
    </row>
    <row r="52" spans="1:11">
      <c r="A52" s="614" t="s">
        <v>4880</v>
      </c>
      <c r="B52" s="614" t="s">
        <v>6177</v>
      </c>
      <c r="C52" s="615" t="s">
        <v>5193</v>
      </c>
      <c r="D52" s="616" t="s">
        <v>5520</v>
      </c>
      <c r="E52" s="616" t="s">
        <v>5682</v>
      </c>
      <c r="F52" s="617" t="s">
        <v>4881</v>
      </c>
      <c r="G52" s="616"/>
      <c r="H52" s="618" t="s">
        <v>736</v>
      </c>
      <c r="I52" s="618" t="s">
        <v>1269</v>
      </c>
      <c r="J52" s="618" t="s">
        <v>1515</v>
      </c>
      <c r="K52" s="618" t="s">
        <v>6218</v>
      </c>
    </row>
    <row r="53" spans="1:11">
      <c r="A53" s="614" t="s">
        <v>4878</v>
      </c>
      <c r="B53" s="614" t="s">
        <v>6174</v>
      </c>
      <c r="C53" s="615" t="s">
        <v>5193</v>
      </c>
      <c r="D53" s="616" t="s">
        <v>5519</v>
      </c>
      <c r="E53" s="616" t="s">
        <v>5686</v>
      </c>
      <c r="F53" s="617" t="s">
        <v>4879</v>
      </c>
      <c r="G53" s="616"/>
      <c r="H53" s="618" t="s">
        <v>736</v>
      </c>
      <c r="I53" s="618" t="s">
        <v>1269</v>
      </c>
      <c r="J53" s="618" t="s">
        <v>1515</v>
      </c>
      <c r="K53" s="618" t="s">
        <v>6218</v>
      </c>
    </row>
    <row r="54" spans="1:11">
      <c r="A54" s="614" t="s">
        <v>4513</v>
      </c>
      <c r="B54" s="614" t="s">
        <v>6177</v>
      </c>
      <c r="C54" s="619" t="s">
        <v>5253</v>
      </c>
      <c r="D54" s="620" t="s">
        <v>5297</v>
      </c>
      <c r="E54" s="620" t="s">
        <v>5830</v>
      </c>
      <c r="F54" s="621" t="s">
        <v>4514</v>
      </c>
      <c r="G54" s="620"/>
      <c r="H54" s="618" t="s">
        <v>736</v>
      </c>
      <c r="I54" s="618" t="s">
        <v>1269</v>
      </c>
      <c r="J54" s="618" t="s">
        <v>1515</v>
      </c>
      <c r="K54" s="618" t="s">
        <v>6218</v>
      </c>
    </row>
    <row r="55" spans="1:11">
      <c r="A55" s="614" t="s">
        <v>4515</v>
      </c>
      <c r="B55" s="614" t="s">
        <v>6177</v>
      </c>
      <c r="C55" s="619" t="s">
        <v>5253</v>
      </c>
      <c r="D55" s="620" t="s">
        <v>5298</v>
      </c>
      <c r="E55" s="620" t="s">
        <v>5831</v>
      </c>
      <c r="F55" s="621" t="s">
        <v>4516</v>
      </c>
      <c r="G55" s="620"/>
      <c r="H55" s="618" t="s">
        <v>736</v>
      </c>
      <c r="I55" s="618" t="s">
        <v>1269</v>
      </c>
      <c r="J55" s="618" t="s">
        <v>1515</v>
      </c>
      <c r="K55" s="618" t="s">
        <v>6218</v>
      </c>
    </row>
    <row r="56" spans="1:11">
      <c r="A56" s="614" t="s">
        <v>4942</v>
      </c>
      <c r="B56" s="614" t="s">
        <v>6177</v>
      </c>
      <c r="C56" s="619" t="s">
        <v>5253</v>
      </c>
      <c r="D56" s="620" t="s">
        <v>5299</v>
      </c>
      <c r="E56" s="620" t="s">
        <v>5832</v>
      </c>
      <c r="F56" s="621" t="s">
        <v>4943</v>
      </c>
      <c r="G56" s="620"/>
      <c r="H56" s="618" t="s">
        <v>736</v>
      </c>
      <c r="I56" s="618" t="s">
        <v>1269</v>
      </c>
      <c r="J56" s="618" t="s">
        <v>1515</v>
      </c>
      <c r="K56" s="618" t="s">
        <v>6218</v>
      </c>
    </row>
    <row r="57" spans="1:11">
      <c r="A57" s="614" t="s">
        <v>4343</v>
      </c>
      <c r="B57" s="614" t="s">
        <v>6177</v>
      </c>
      <c r="C57" s="619" t="s">
        <v>5253</v>
      </c>
      <c r="D57" s="620" t="s">
        <v>5301</v>
      </c>
      <c r="E57" s="620" t="s">
        <v>5834</v>
      </c>
      <c r="F57" s="621" t="s">
        <v>4344</v>
      </c>
      <c r="G57" s="620"/>
      <c r="H57" s="618" t="s">
        <v>736</v>
      </c>
      <c r="I57" s="618" t="s">
        <v>1269</v>
      </c>
      <c r="J57" s="618" t="s">
        <v>1515</v>
      </c>
      <c r="K57" s="618" t="s">
        <v>6218</v>
      </c>
    </row>
    <row r="58" spans="1:11">
      <c r="A58" s="614" t="s">
        <v>5119</v>
      </c>
      <c r="B58" s="614" t="s">
        <v>6177</v>
      </c>
      <c r="C58" s="619" t="s">
        <v>5253</v>
      </c>
      <c r="D58" s="620" t="s">
        <v>5300</v>
      </c>
      <c r="E58" s="620" t="s">
        <v>5833</v>
      </c>
      <c r="F58" s="621" t="s">
        <v>5120</v>
      </c>
      <c r="G58" s="620"/>
      <c r="H58" s="618" t="s">
        <v>736</v>
      </c>
      <c r="I58" s="618" t="s">
        <v>1269</v>
      </c>
      <c r="J58" s="623" t="s">
        <v>1515</v>
      </c>
      <c r="K58" s="618" t="s">
        <v>6216</v>
      </c>
    </row>
    <row r="59" spans="1:11" s="631" customFormat="1" ht="14.5">
      <c r="A59" s="614" t="s">
        <v>4679</v>
      </c>
      <c r="B59" s="614" t="s">
        <v>6174</v>
      </c>
      <c r="C59" s="619" t="s">
        <v>5253</v>
      </c>
      <c r="D59" s="620" t="s">
        <v>6219</v>
      </c>
      <c r="E59" s="620" t="s">
        <v>5837</v>
      </c>
      <c r="F59" s="621" t="s">
        <v>6220</v>
      </c>
      <c r="G59" s="620"/>
      <c r="H59" s="618" t="s">
        <v>736</v>
      </c>
      <c r="I59" s="618" t="s">
        <v>1269</v>
      </c>
      <c r="J59" s="618" t="s">
        <v>1515</v>
      </c>
      <c r="K59" s="618" t="s">
        <v>6216</v>
      </c>
    </row>
    <row r="60" spans="1:11">
      <c r="A60" s="614" t="s">
        <v>5106</v>
      </c>
      <c r="B60" s="614" t="s">
        <v>6177</v>
      </c>
      <c r="C60" s="629" t="s">
        <v>5255</v>
      </c>
      <c r="D60" s="630" t="s">
        <v>6221</v>
      </c>
      <c r="E60" s="630" t="s">
        <v>5659</v>
      </c>
      <c r="F60" s="630" t="s">
        <v>5107</v>
      </c>
      <c r="G60" s="630" t="s">
        <v>6221</v>
      </c>
      <c r="H60" s="618" t="s">
        <v>736</v>
      </c>
      <c r="I60" s="618" t="s">
        <v>5132</v>
      </c>
      <c r="J60" s="618" t="s">
        <v>5134</v>
      </c>
      <c r="K60" s="618" t="s">
        <v>5121</v>
      </c>
    </row>
    <row r="61" spans="1:11">
      <c r="A61" s="614" t="s">
        <v>4368</v>
      </c>
      <c r="B61" s="614" t="s">
        <v>6177</v>
      </c>
      <c r="C61" s="615" t="s">
        <v>5193</v>
      </c>
      <c r="D61" s="616" t="s">
        <v>5524</v>
      </c>
      <c r="E61" s="616" t="s">
        <v>5694</v>
      </c>
      <c r="F61" s="617" t="s">
        <v>4369</v>
      </c>
      <c r="G61" s="616" t="s">
        <v>6222</v>
      </c>
      <c r="H61" s="618" t="s">
        <v>736</v>
      </c>
      <c r="I61" s="618" t="s">
        <v>5132</v>
      </c>
      <c r="J61" s="618" t="s">
        <v>5134</v>
      </c>
      <c r="K61" s="618" t="s">
        <v>6223</v>
      </c>
    </row>
    <row r="62" spans="1:11">
      <c r="A62" s="614" t="s">
        <v>4497</v>
      </c>
      <c r="B62" s="614" t="s">
        <v>6177</v>
      </c>
      <c r="C62" s="619" t="s">
        <v>5253</v>
      </c>
      <c r="D62" s="620" t="s">
        <v>5306</v>
      </c>
      <c r="E62" s="620" t="s">
        <v>5858</v>
      </c>
      <c r="F62" s="621" t="s">
        <v>4498</v>
      </c>
      <c r="G62" s="620"/>
      <c r="H62" s="618" t="s">
        <v>736</v>
      </c>
      <c r="I62" s="618" t="s">
        <v>5132</v>
      </c>
      <c r="J62" s="618" t="s">
        <v>5134</v>
      </c>
      <c r="K62" s="618" t="s">
        <v>5121</v>
      </c>
    </row>
    <row r="63" spans="1:11">
      <c r="A63" s="614" t="s">
        <v>4578</v>
      </c>
      <c r="B63" s="614" t="s">
        <v>6174</v>
      </c>
      <c r="C63" s="619" t="s">
        <v>5253</v>
      </c>
      <c r="D63" s="620" t="s">
        <v>5305</v>
      </c>
      <c r="E63" s="620" t="s">
        <v>5856</v>
      </c>
      <c r="F63" s="621" t="s">
        <v>4579</v>
      </c>
      <c r="G63" s="620"/>
      <c r="H63" s="618" t="s">
        <v>736</v>
      </c>
      <c r="I63" s="618" t="s">
        <v>5132</v>
      </c>
      <c r="J63" s="618" t="s">
        <v>5134</v>
      </c>
      <c r="K63" s="618" t="s">
        <v>6223</v>
      </c>
    </row>
    <row r="64" spans="1:11">
      <c r="A64" s="614" t="s">
        <v>4991</v>
      </c>
      <c r="B64" s="614" t="s">
        <v>6174</v>
      </c>
      <c r="C64" s="615" t="s">
        <v>5193</v>
      </c>
      <c r="D64" s="616" t="s">
        <v>5525</v>
      </c>
      <c r="E64" s="616" t="s">
        <v>5693</v>
      </c>
      <c r="F64" s="617" t="s">
        <v>4992</v>
      </c>
      <c r="G64" s="616"/>
      <c r="H64" s="618" t="s">
        <v>736</v>
      </c>
      <c r="I64" s="618" t="s">
        <v>5151</v>
      </c>
      <c r="J64" s="618" t="s">
        <v>5157</v>
      </c>
      <c r="K64" s="618" t="s">
        <v>6224</v>
      </c>
    </row>
    <row r="65" spans="1:11">
      <c r="A65" s="614" t="s">
        <v>6225</v>
      </c>
      <c r="B65" s="614" t="s">
        <v>6174</v>
      </c>
      <c r="C65" s="619" t="s">
        <v>5253</v>
      </c>
      <c r="D65" s="620" t="s">
        <v>5308</v>
      </c>
      <c r="E65" s="620" t="s">
        <v>5855</v>
      </c>
      <c r="F65" s="621" t="s">
        <v>6226</v>
      </c>
      <c r="G65" s="620"/>
      <c r="H65" s="618" t="s">
        <v>736</v>
      </c>
      <c r="I65" s="618" t="s">
        <v>5151</v>
      </c>
      <c r="J65" s="618" t="s">
        <v>5157</v>
      </c>
      <c r="K65" s="618" t="s">
        <v>6224</v>
      </c>
    </row>
    <row r="66" spans="1:11">
      <c r="A66" s="614" t="s">
        <v>4493</v>
      </c>
      <c r="B66" s="614" t="s">
        <v>6177</v>
      </c>
      <c r="C66" s="619" t="s">
        <v>5253</v>
      </c>
      <c r="D66" s="620" t="s">
        <v>5307</v>
      </c>
      <c r="E66" s="620" t="s">
        <v>5852</v>
      </c>
      <c r="F66" s="621" t="s">
        <v>4494</v>
      </c>
      <c r="G66" s="620"/>
      <c r="H66" s="618" t="s">
        <v>736</v>
      </c>
      <c r="I66" s="618" t="s">
        <v>5151</v>
      </c>
      <c r="J66" s="618" t="s">
        <v>5157</v>
      </c>
      <c r="K66" s="618" t="s">
        <v>6224</v>
      </c>
    </row>
    <row r="67" spans="1:11">
      <c r="A67" s="614" t="s">
        <v>4491</v>
      </c>
      <c r="B67" s="614" t="s">
        <v>6177</v>
      </c>
      <c r="C67" s="619" t="s">
        <v>5253</v>
      </c>
      <c r="D67" s="620" t="s">
        <v>5309</v>
      </c>
      <c r="E67" s="620" t="s">
        <v>5857</v>
      </c>
      <c r="F67" s="621" t="s">
        <v>4492</v>
      </c>
      <c r="G67" s="620"/>
      <c r="H67" s="618" t="s">
        <v>736</v>
      </c>
      <c r="I67" s="618" t="s">
        <v>5151</v>
      </c>
      <c r="J67" s="618" t="s">
        <v>5157</v>
      </c>
      <c r="K67" s="618" t="s">
        <v>6224</v>
      </c>
    </row>
    <row r="68" spans="1:11">
      <c r="A68" s="614" t="s">
        <v>4499</v>
      </c>
      <c r="B68" s="614" t="s">
        <v>6177</v>
      </c>
      <c r="C68" s="624" t="s">
        <v>5254</v>
      </c>
      <c r="D68" s="625" t="s">
        <v>5258</v>
      </c>
      <c r="E68" s="625" t="s">
        <v>5782</v>
      </c>
      <c r="F68" s="625" t="s">
        <v>4500</v>
      </c>
      <c r="G68" s="626"/>
      <c r="H68" s="618" t="s">
        <v>736</v>
      </c>
      <c r="I68" s="618" t="s">
        <v>5151</v>
      </c>
      <c r="J68" s="618" t="s">
        <v>5157</v>
      </c>
      <c r="K68" s="618" t="s">
        <v>6224</v>
      </c>
    </row>
    <row r="69" spans="1:11">
      <c r="A69" s="614" t="s">
        <v>4364</v>
      </c>
      <c r="B69" s="614" t="s">
        <v>6177</v>
      </c>
      <c r="C69" s="619" t="s">
        <v>5253</v>
      </c>
      <c r="D69" s="620" t="s">
        <v>5312</v>
      </c>
      <c r="E69" s="620" t="s">
        <v>5853</v>
      </c>
      <c r="F69" s="621" t="s">
        <v>4365</v>
      </c>
      <c r="G69" s="620"/>
      <c r="H69" s="618" t="s">
        <v>736</v>
      </c>
      <c r="I69" s="618" t="s">
        <v>5131</v>
      </c>
      <c r="J69" s="618" t="s">
        <v>5133</v>
      </c>
      <c r="K69" s="618" t="s">
        <v>6227</v>
      </c>
    </row>
    <row r="70" spans="1:11">
      <c r="A70" s="614" t="s">
        <v>4489</v>
      </c>
      <c r="B70" s="614" t="s">
        <v>6177</v>
      </c>
      <c r="C70" s="619" t="s">
        <v>5253</v>
      </c>
      <c r="D70" s="620" t="s">
        <v>5310</v>
      </c>
      <c r="E70" s="620" t="s">
        <v>5850</v>
      </c>
      <c r="F70" s="621" t="s">
        <v>4490</v>
      </c>
      <c r="G70" s="620"/>
      <c r="H70" s="618" t="s">
        <v>736</v>
      </c>
      <c r="I70" s="618" t="s">
        <v>5131</v>
      </c>
      <c r="J70" s="618" t="s">
        <v>5133</v>
      </c>
      <c r="K70" s="618" t="s">
        <v>6227</v>
      </c>
    </row>
    <row r="71" spans="1:11">
      <c r="A71" s="614" t="s">
        <v>4366</v>
      </c>
      <c r="B71" s="614" t="s">
        <v>6177</v>
      </c>
      <c r="C71" s="619" t="s">
        <v>5253</v>
      </c>
      <c r="D71" s="620" t="s">
        <v>5311</v>
      </c>
      <c r="E71" s="620" t="s">
        <v>5851</v>
      </c>
      <c r="F71" s="621" t="s">
        <v>4367</v>
      </c>
      <c r="G71" s="620"/>
      <c r="H71" s="618" t="s">
        <v>736</v>
      </c>
      <c r="I71" s="618" t="s">
        <v>5131</v>
      </c>
      <c r="J71" s="618" t="s">
        <v>5133</v>
      </c>
      <c r="K71" s="618" t="s">
        <v>6227</v>
      </c>
    </row>
    <row r="72" spans="1:11">
      <c r="A72" s="614" t="s">
        <v>4495</v>
      </c>
      <c r="B72" s="614" t="s">
        <v>6177</v>
      </c>
      <c r="C72" s="619" t="s">
        <v>5253</v>
      </c>
      <c r="D72" s="620" t="s">
        <v>5313</v>
      </c>
      <c r="E72" s="620" t="s">
        <v>5854</v>
      </c>
      <c r="F72" s="621" t="s">
        <v>4496</v>
      </c>
      <c r="G72" s="620"/>
      <c r="H72" s="618" t="s">
        <v>736</v>
      </c>
      <c r="I72" s="618" t="s">
        <v>5131</v>
      </c>
      <c r="J72" s="618" t="s">
        <v>5133</v>
      </c>
      <c r="K72" s="618" t="s">
        <v>6227</v>
      </c>
    </row>
    <row r="73" spans="1:11">
      <c r="A73" s="614" t="s">
        <v>4353</v>
      </c>
      <c r="B73" s="614" t="s">
        <v>6177</v>
      </c>
      <c r="C73" s="627" t="s">
        <v>5194</v>
      </c>
      <c r="D73" s="628" t="s">
        <v>6228</v>
      </c>
      <c r="E73" s="632" t="s">
        <v>5631</v>
      </c>
      <c r="F73" s="628" t="s">
        <v>4354</v>
      </c>
      <c r="G73" s="632"/>
      <c r="H73" s="618" t="s">
        <v>736</v>
      </c>
      <c r="I73" s="618" t="s">
        <v>1259</v>
      </c>
      <c r="J73" s="618" t="s">
        <v>5165</v>
      </c>
      <c r="K73" s="618" t="s">
        <v>6229</v>
      </c>
    </row>
    <row r="74" spans="1:11">
      <c r="A74" s="614" t="s">
        <v>4355</v>
      </c>
      <c r="B74" s="614" t="s">
        <v>6177</v>
      </c>
      <c r="C74" s="627" t="s">
        <v>5194</v>
      </c>
      <c r="D74" s="628" t="s">
        <v>6230</v>
      </c>
      <c r="E74" s="632" t="s">
        <v>5632</v>
      </c>
      <c r="F74" s="628" t="s">
        <v>4356</v>
      </c>
      <c r="G74" s="632"/>
      <c r="H74" s="618" t="s">
        <v>736</v>
      </c>
      <c r="I74" s="618" t="s">
        <v>1259</v>
      </c>
      <c r="J74" s="618" t="s">
        <v>5165</v>
      </c>
      <c r="K74" s="618" t="s">
        <v>6229</v>
      </c>
    </row>
    <row r="75" spans="1:11">
      <c r="A75" s="614" t="s">
        <v>4347</v>
      </c>
      <c r="B75" s="614" t="s">
        <v>6177</v>
      </c>
      <c r="C75" s="615" t="s">
        <v>5193</v>
      </c>
      <c r="D75" s="616" t="s">
        <v>5527</v>
      </c>
      <c r="E75" s="616" t="s">
        <v>5681</v>
      </c>
      <c r="F75" s="617" t="s">
        <v>4348</v>
      </c>
      <c r="G75" s="616"/>
      <c r="H75" s="618" t="s">
        <v>736</v>
      </c>
      <c r="I75" s="618" t="s">
        <v>1259</v>
      </c>
      <c r="J75" s="618" t="s">
        <v>5165</v>
      </c>
      <c r="K75" s="618" t="s">
        <v>6229</v>
      </c>
    </row>
    <row r="76" spans="1:11">
      <c r="A76" s="614" t="s">
        <v>4349</v>
      </c>
      <c r="B76" s="614" t="s">
        <v>6177</v>
      </c>
      <c r="C76" s="615" t="s">
        <v>5193</v>
      </c>
      <c r="D76" s="616" t="s">
        <v>5526</v>
      </c>
      <c r="E76" s="616" t="s">
        <v>5680</v>
      </c>
      <c r="F76" s="617" t="s">
        <v>4350</v>
      </c>
      <c r="G76" s="616"/>
      <c r="H76" s="618" t="s">
        <v>736</v>
      </c>
      <c r="I76" s="618" t="s">
        <v>1259</v>
      </c>
      <c r="J76" s="618" t="s">
        <v>5165</v>
      </c>
      <c r="K76" s="618" t="s">
        <v>6229</v>
      </c>
    </row>
    <row r="77" spans="1:11">
      <c r="A77" s="614" t="s">
        <v>4944</v>
      </c>
      <c r="B77" s="614" t="s">
        <v>6177</v>
      </c>
      <c r="C77" s="619" t="s">
        <v>5253</v>
      </c>
      <c r="D77" s="620" t="s">
        <v>5318</v>
      </c>
      <c r="E77" s="620" t="s">
        <v>5829</v>
      </c>
      <c r="F77" s="621" t="s">
        <v>4945</v>
      </c>
      <c r="G77" s="620"/>
      <c r="H77" s="618" t="s">
        <v>736</v>
      </c>
      <c r="I77" s="618" t="s">
        <v>1259</v>
      </c>
      <c r="J77" s="618" t="s">
        <v>5165</v>
      </c>
      <c r="K77" s="618" t="s">
        <v>6229</v>
      </c>
    </row>
    <row r="78" spans="1:11">
      <c r="A78" s="614" t="s">
        <v>4503</v>
      </c>
      <c r="B78" s="614" t="s">
        <v>6177</v>
      </c>
      <c r="C78" s="619" t="s">
        <v>5253</v>
      </c>
      <c r="D78" s="620" t="s">
        <v>5314</v>
      </c>
      <c r="E78" s="620" t="s">
        <v>5825</v>
      </c>
      <c r="F78" s="621" t="s">
        <v>4504</v>
      </c>
      <c r="G78" s="620"/>
      <c r="H78" s="618" t="s">
        <v>736</v>
      </c>
      <c r="I78" s="618" t="s">
        <v>1259</v>
      </c>
      <c r="J78" s="618" t="s">
        <v>5165</v>
      </c>
      <c r="K78" s="618" t="s">
        <v>6229</v>
      </c>
    </row>
    <row r="79" spans="1:11">
      <c r="A79" s="614" t="s">
        <v>4351</v>
      </c>
      <c r="B79" s="614" t="s">
        <v>6177</v>
      </c>
      <c r="C79" s="619" t="s">
        <v>5253</v>
      </c>
      <c r="D79" s="620" t="s">
        <v>5316</v>
      </c>
      <c r="E79" s="620" t="s">
        <v>5827</v>
      </c>
      <c r="F79" s="621" t="s">
        <v>4352</v>
      </c>
      <c r="G79" s="620"/>
      <c r="H79" s="618" t="s">
        <v>736</v>
      </c>
      <c r="I79" s="618" t="s">
        <v>1259</v>
      </c>
      <c r="J79" s="618" t="s">
        <v>5165</v>
      </c>
      <c r="K79" s="618" t="s">
        <v>6229</v>
      </c>
    </row>
    <row r="80" spans="1:11">
      <c r="A80" s="614" t="s">
        <v>4501</v>
      </c>
      <c r="B80" s="614" t="s">
        <v>6177</v>
      </c>
      <c r="C80" s="619" t="s">
        <v>5253</v>
      </c>
      <c r="D80" s="620" t="s">
        <v>5317</v>
      </c>
      <c r="E80" s="620" t="s">
        <v>5828</v>
      </c>
      <c r="F80" s="621" t="s">
        <v>4502</v>
      </c>
      <c r="G80" s="620"/>
      <c r="H80" s="618" t="s">
        <v>736</v>
      </c>
      <c r="I80" s="618" t="s">
        <v>1259</v>
      </c>
      <c r="J80" s="618" t="s">
        <v>5165</v>
      </c>
      <c r="K80" s="618" t="s">
        <v>6229</v>
      </c>
    </row>
    <row r="81" spans="1:11">
      <c r="A81" s="614" t="s">
        <v>4946</v>
      </c>
      <c r="B81" s="614" t="s">
        <v>6177</v>
      </c>
      <c r="C81" s="619" t="s">
        <v>5253</v>
      </c>
      <c r="D81" s="620" t="s">
        <v>5315</v>
      </c>
      <c r="E81" s="620" t="s">
        <v>5826</v>
      </c>
      <c r="F81" s="621" t="s">
        <v>4947</v>
      </c>
      <c r="G81" s="620"/>
      <c r="H81" s="618" t="s">
        <v>736</v>
      </c>
      <c r="I81" s="618" t="s">
        <v>1259</v>
      </c>
      <c r="J81" s="618" t="s">
        <v>5165</v>
      </c>
      <c r="K81" s="618" t="s">
        <v>6229</v>
      </c>
    </row>
    <row r="82" spans="1:11">
      <c r="A82" s="614" t="s">
        <v>4335</v>
      </c>
      <c r="B82" s="614" t="s">
        <v>6177</v>
      </c>
      <c r="C82" s="627" t="s">
        <v>5194</v>
      </c>
      <c r="D82" s="628" t="s">
        <v>6231</v>
      </c>
      <c r="E82" s="633" t="s">
        <v>5635</v>
      </c>
      <c r="F82" s="628" t="s">
        <v>4336</v>
      </c>
      <c r="G82" s="633"/>
      <c r="H82" s="618" t="s">
        <v>736</v>
      </c>
      <c r="I82" s="618" t="s">
        <v>1252</v>
      </c>
      <c r="J82" s="618" t="s">
        <v>5160</v>
      </c>
      <c r="K82" s="618" t="s">
        <v>6232</v>
      </c>
    </row>
    <row r="83" spans="1:11">
      <c r="A83" s="614" t="s">
        <v>5065</v>
      </c>
      <c r="B83" s="614" t="s">
        <v>6177</v>
      </c>
      <c r="C83" s="629" t="s">
        <v>5255</v>
      </c>
      <c r="D83" s="630" t="s">
        <v>6233</v>
      </c>
      <c r="E83" s="630" t="s">
        <v>5658</v>
      </c>
      <c r="F83" s="630" t="s">
        <v>5066</v>
      </c>
      <c r="G83" s="630" t="s">
        <v>6233</v>
      </c>
      <c r="H83" s="618" t="s">
        <v>736</v>
      </c>
      <c r="I83" s="618" t="s">
        <v>1252</v>
      </c>
      <c r="J83" s="618" t="s">
        <v>5160</v>
      </c>
      <c r="K83" s="618" t="s">
        <v>6232</v>
      </c>
    </row>
    <row r="84" spans="1:11">
      <c r="A84" s="614" t="s">
        <v>4322</v>
      </c>
      <c r="B84" s="614" t="s">
        <v>6177</v>
      </c>
      <c r="C84" s="615" t="s">
        <v>5193</v>
      </c>
      <c r="D84" s="616" t="s">
        <v>5529</v>
      </c>
      <c r="E84" s="616" t="s">
        <v>5691</v>
      </c>
      <c r="F84" s="617" t="s">
        <v>4323</v>
      </c>
      <c r="G84" s="616"/>
      <c r="H84" s="618" t="s">
        <v>736</v>
      </c>
      <c r="I84" s="618" t="s">
        <v>1252</v>
      </c>
      <c r="J84" s="618" t="s">
        <v>5160</v>
      </c>
      <c r="K84" s="618" t="s">
        <v>6232</v>
      </c>
    </row>
    <row r="85" spans="1:11">
      <c r="A85" s="614" t="s">
        <v>4318</v>
      </c>
      <c r="B85" s="614" t="s">
        <v>6177</v>
      </c>
      <c r="C85" s="615" t="s">
        <v>5193</v>
      </c>
      <c r="D85" s="616" t="s">
        <v>6234</v>
      </c>
      <c r="E85" s="616" t="s">
        <v>5690</v>
      </c>
      <c r="F85" s="617" t="s">
        <v>4319</v>
      </c>
      <c r="G85" s="616"/>
      <c r="H85" s="618" t="s">
        <v>736</v>
      </c>
      <c r="I85" s="618" t="s">
        <v>1252</v>
      </c>
      <c r="J85" s="618" t="s">
        <v>5160</v>
      </c>
      <c r="K85" s="618" t="s">
        <v>6232</v>
      </c>
    </row>
    <row r="86" spans="1:11">
      <c r="A86" s="614" t="s">
        <v>4320</v>
      </c>
      <c r="B86" s="614" t="s">
        <v>6177</v>
      </c>
      <c r="C86" s="615" t="s">
        <v>5193</v>
      </c>
      <c r="D86" s="616" t="s">
        <v>5528</v>
      </c>
      <c r="E86" s="616" t="s">
        <v>5688</v>
      </c>
      <c r="F86" s="617" t="s">
        <v>4321</v>
      </c>
      <c r="G86" s="616"/>
      <c r="H86" s="618" t="s">
        <v>736</v>
      </c>
      <c r="I86" s="618" t="s">
        <v>1252</v>
      </c>
      <c r="J86" s="618" t="s">
        <v>5160</v>
      </c>
      <c r="K86" s="618" t="s">
        <v>6232</v>
      </c>
    </row>
    <row r="87" spans="1:11">
      <c r="A87" s="614" t="s">
        <v>4989</v>
      </c>
      <c r="B87" s="614" t="s">
        <v>6177</v>
      </c>
      <c r="C87" s="615" t="s">
        <v>5193</v>
      </c>
      <c r="D87" s="616" t="s">
        <v>5530</v>
      </c>
      <c r="E87" s="616" t="s">
        <v>5689</v>
      </c>
      <c r="F87" s="617" t="s">
        <v>4990</v>
      </c>
      <c r="G87" s="616"/>
      <c r="H87" s="618" t="s">
        <v>736</v>
      </c>
      <c r="I87" s="618" t="s">
        <v>1252</v>
      </c>
      <c r="J87" s="618" t="s">
        <v>5160</v>
      </c>
      <c r="K87" s="618" t="s">
        <v>6232</v>
      </c>
    </row>
    <row r="88" spans="1:11">
      <c r="A88" s="614" t="s">
        <v>4329</v>
      </c>
      <c r="B88" s="614" t="s">
        <v>6177</v>
      </c>
      <c r="C88" s="619" t="s">
        <v>5253</v>
      </c>
      <c r="D88" s="620" t="s">
        <v>5319</v>
      </c>
      <c r="E88" s="620" t="s">
        <v>5838</v>
      </c>
      <c r="F88" s="621" t="s">
        <v>4330</v>
      </c>
      <c r="G88" s="620"/>
      <c r="H88" s="618" t="s">
        <v>736</v>
      </c>
      <c r="I88" s="618" t="s">
        <v>1252</v>
      </c>
      <c r="J88" s="618" t="s">
        <v>5160</v>
      </c>
      <c r="K88" s="618" t="s">
        <v>6235</v>
      </c>
    </row>
    <row r="89" spans="1:11">
      <c r="A89" s="614" t="s">
        <v>4333</v>
      </c>
      <c r="B89" s="614" t="s">
        <v>6177</v>
      </c>
      <c r="C89" s="619" t="s">
        <v>5253</v>
      </c>
      <c r="D89" s="620" t="s">
        <v>5324</v>
      </c>
      <c r="E89" s="620" t="s">
        <v>5843</v>
      </c>
      <c r="F89" s="621" t="s">
        <v>4334</v>
      </c>
      <c r="G89" s="620"/>
      <c r="H89" s="618" t="s">
        <v>736</v>
      </c>
      <c r="I89" s="618" t="s">
        <v>1252</v>
      </c>
      <c r="J89" s="618" t="s">
        <v>5160</v>
      </c>
      <c r="K89" s="618" t="s">
        <v>6232</v>
      </c>
    </row>
    <row r="90" spans="1:11">
      <c r="A90" s="614" t="s">
        <v>4331</v>
      </c>
      <c r="B90" s="614" t="s">
        <v>6177</v>
      </c>
      <c r="C90" s="619" t="s">
        <v>5253</v>
      </c>
      <c r="D90" s="620" t="s">
        <v>5323</v>
      </c>
      <c r="E90" s="620" t="s">
        <v>5842</v>
      </c>
      <c r="F90" s="621" t="s">
        <v>4332</v>
      </c>
      <c r="G90" s="620"/>
      <c r="H90" s="618" t="s">
        <v>736</v>
      </c>
      <c r="I90" s="618" t="s">
        <v>1252</v>
      </c>
      <c r="J90" s="618" t="s">
        <v>5160</v>
      </c>
      <c r="K90" s="618" t="s">
        <v>6232</v>
      </c>
    </row>
    <row r="91" spans="1:11">
      <c r="A91" s="614" t="s">
        <v>4324</v>
      </c>
      <c r="B91" s="614" t="s">
        <v>6177</v>
      </c>
      <c r="C91" s="619" t="s">
        <v>5253</v>
      </c>
      <c r="D91" s="620" t="s">
        <v>5320</v>
      </c>
      <c r="E91" s="620" t="s">
        <v>5839</v>
      </c>
      <c r="F91" s="621" t="s">
        <v>6236</v>
      </c>
      <c r="G91" s="620"/>
      <c r="H91" s="618" t="s">
        <v>736</v>
      </c>
      <c r="I91" s="618" t="s">
        <v>1252</v>
      </c>
      <c r="J91" s="618" t="s">
        <v>5160</v>
      </c>
      <c r="K91" s="618" t="s">
        <v>6232</v>
      </c>
    </row>
    <row r="92" spans="1:11">
      <c r="A92" s="614" t="s">
        <v>4327</v>
      </c>
      <c r="B92" s="614" t="s">
        <v>6177</v>
      </c>
      <c r="C92" s="619" t="s">
        <v>5253</v>
      </c>
      <c r="D92" s="620" t="s">
        <v>5322</v>
      </c>
      <c r="E92" s="620" t="s">
        <v>5841</v>
      </c>
      <c r="F92" s="621" t="s">
        <v>4328</v>
      </c>
      <c r="G92" s="620"/>
      <c r="H92" s="618" t="s">
        <v>736</v>
      </c>
      <c r="I92" s="618" t="s">
        <v>1252</v>
      </c>
      <c r="J92" s="618" t="s">
        <v>5160</v>
      </c>
      <c r="K92" s="618" t="s">
        <v>6232</v>
      </c>
    </row>
    <row r="93" spans="1:11">
      <c r="A93" s="614" t="s">
        <v>5077</v>
      </c>
      <c r="B93" s="614" t="s">
        <v>6177</v>
      </c>
      <c r="C93" s="629" t="s">
        <v>5255</v>
      </c>
      <c r="D93" s="630" t="s">
        <v>6237</v>
      </c>
      <c r="E93" s="630" t="s">
        <v>5660</v>
      </c>
      <c r="F93" s="630" t="s">
        <v>5078</v>
      </c>
      <c r="G93" s="630" t="s">
        <v>6237</v>
      </c>
      <c r="H93" s="618" t="s">
        <v>6238</v>
      </c>
      <c r="I93" s="618" t="s">
        <v>5</v>
      </c>
      <c r="J93" s="618" t="s">
        <v>1514</v>
      </c>
      <c r="K93" s="618" t="s">
        <v>6239</v>
      </c>
    </row>
    <row r="94" spans="1:11">
      <c r="A94" s="614" t="s">
        <v>5023</v>
      </c>
      <c r="B94" s="614" t="s">
        <v>6177</v>
      </c>
      <c r="C94" s="615" t="s">
        <v>5193</v>
      </c>
      <c r="D94" s="616" t="s">
        <v>5531</v>
      </c>
      <c r="E94" s="616" t="s">
        <v>5696</v>
      </c>
      <c r="F94" s="617" t="s">
        <v>5024</v>
      </c>
      <c r="G94" s="616"/>
      <c r="H94" s="618" t="s">
        <v>6240</v>
      </c>
      <c r="I94" s="618" t="s">
        <v>5</v>
      </c>
      <c r="J94" s="618" t="s">
        <v>1514</v>
      </c>
      <c r="K94" s="618" t="s">
        <v>6239</v>
      </c>
    </row>
    <row r="95" spans="1:11">
      <c r="A95" s="614" t="s">
        <v>4359</v>
      </c>
      <c r="B95" s="614" t="s">
        <v>6177</v>
      </c>
      <c r="C95" s="619" t="s">
        <v>5253</v>
      </c>
      <c r="D95" s="620" t="s">
        <v>5329</v>
      </c>
      <c r="E95" s="620" t="s">
        <v>5862</v>
      </c>
      <c r="F95" s="621" t="s">
        <v>4360</v>
      </c>
      <c r="G95" s="620"/>
      <c r="H95" s="618" t="s">
        <v>736</v>
      </c>
      <c r="I95" s="618" t="s">
        <v>5</v>
      </c>
      <c r="J95" s="618" t="s">
        <v>1514</v>
      </c>
      <c r="K95" s="618" t="s">
        <v>6239</v>
      </c>
    </row>
    <row r="96" spans="1:11">
      <c r="A96" s="614" t="s">
        <v>4370</v>
      </c>
      <c r="B96" s="614" t="s">
        <v>6177</v>
      </c>
      <c r="C96" s="619" t="s">
        <v>5253</v>
      </c>
      <c r="D96" s="620" t="s">
        <v>5326</v>
      </c>
      <c r="E96" s="620" t="s">
        <v>5859</v>
      </c>
      <c r="F96" s="621" t="s">
        <v>6529</v>
      </c>
      <c r="G96" s="620"/>
      <c r="H96" s="618" t="s">
        <v>736</v>
      </c>
      <c r="I96" s="618" t="s">
        <v>5</v>
      </c>
      <c r="J96" s="618" t="s">
        <v>1514</v>
      </c>
      <c r="K96" s="618" t="s">
        <v>6239</v>
      </c>
    </row>
    <row r="97" spans="1:11">
      <c r="A97" s="614" t="s">
        <v>4357</v>
      </c>
      <c r="B97" s="614" t="s">
        <v>6177</v>
      </c>
      <c r="C97" s="619" t="s">
        <v>5253</v>
      </c>
      <c r="D97" s="620" t="s">
        <v>5330</v>
      </c>
      <c r="E97" s="620" t="s">
        <v>5863</v>
      </c>
      <c r="F97" s="621" t="s">
        <v>4358</v>
      </c>
      <c r="G97" s="620"/>
      <c r="H97" s="618" t="s">
        <v>736</v>
      </c>
      <c r="I97" s="618" t="s">
        <v>5</v>
      </c>
      <c r="J97" s="618" t="s">
        <v>1514</v>
      </c>
      <c r="K97" s="618" t="s">
        <v>6241</v>
      </c>
    </row>
    <row r="98" spans="1:11">
      <c r="A98" s="614" t="s">
        <v>4371</v>
      </c>
      <c r="B98" s="614" t="s">
        <v>6177</v>
      </c>
      <c r="C98" s="619" t="s">
        <v>5253</v>
      </c>
      <c r="D98" s="620" t="s">
        <v>5327</v>
      </c>
      <c r="E98" s="620" t="s">
        <v>5860</v>
      </c>
      <c r="F98" s="621" t="s">
        <v>4372</v>
      </c>
      <c r="G98" s="620"/>
      <c r="H98" s="618" t="s">
        <v>736</v>
      </c>
      <c r="I98" s="618" t="s">
        <v>5</v>
      </c>
      <c r="J98" s="618" t="s">
        <v>1514</v>
      </c>
      <c r="K98" s="618" t="s">
        <v>6239</v>
      </c>
    </row>
    <row r="99" spans="1:11">
      <c r="A99" s="614" t="s">
        <v>4361</v>
      </c>
      <c r="B99" s="614" t="s">
        <v>6174</v>
      </c>
      <c r="C99" s="619" t="s">
        <v>5253</v>
      </c>
      <c r="D99" s="620" t="s">
        <v>5328</v>
      </c>
      <c r="E99" s="620" t="s">
        <v>5861</v>
      </c>
      <c r="F99" s="621" t="s">
        <v>4362</v>
      </c>
      <c r="G99" s="620"/>
      <c r="H99" s="618" t="s">
        <v>736</v>
      </c>
      <c r="I99" s="618" t="s">
        <v>5</v>
      </c>
      <c r="J99" s="618" t="s">
        <v>1514</v>
      </c>
      <c r="K99" s="618" t="s">
        <v>6239</v>
      </c>
    </row>
    <row r="100" spans="1:11">
      <c r="A100" s="614" t="s">
        <v>4363</v>
      </c>
      <c r="B100" s="614" t="s">
        <v>6177</v>
      </c>
      <c r="C100" s="624" t="s">
        <v>5254</v>
      </c>
      <c r="D100" s="625" t="s">
        <v>5259</v>
      </c>
      <c r="E100" s="625" t="s">
        <v>5783</v>
      </c>
      <c r="F100" s="625" t="s">
        <v>6242</v>
      </c>
      <c r="G100" s="626"/>
      <c r="H100" s="618" t="s">
        <v>736</v>
      </c>
      <c r="I100" s="618" t="s">
        <v>5</v>
      </c>
      <c r="J100" s="618" t="s">
        <v>1514</v>
      </c>
      <c r="K100" s="618" t="s">
        <v>6239</v>
      </c>
    </row>
    <row r="101" spans="1:11">
      <c r="A101" s="614" t="s">
        <v>4546</v>
      </c>
      <c r="B101" s="614" t="s">
        <v>6177</v>
      </c>
      <c r="C101" s="619" t="s">
        <v>5253</v>
      </c>
      <c r="D101" s="620" t="s">
        <v>5333</v>
      </c>
      <c r="E101" s="620" t="s">
        <v>5870</v>
      </c>
      <c r="F101" s="621" t="s">
        <v>4547</v>
      </c>
      <c r="G101" s="620"/>
      <c r="H101" s="634" t="s">
        <v>1370</v>
      </c>
      <c r="I101" s="634" t="s">
        <v>5171</v>
      </c>
      <c r="J101" s="634" t="s">
        <v>5172</v>
      </c>
      <c r="K101" s="634" t="s">
        <v>6243</v>
      </c>
    </row>
    <row r="102" spans="1:11">
      <c r="A102" s="614" t="s">
        <v>4544</v>
      </c>
      <c r="B102" s="614" t="s">
        <v>6177</v>
      </c>
      <c r="C102" s="619" t="s">
        <v>5253</v>
      </c>
      <c r="D102" s="620" t="s">
        <v>5332</v>
      </c>
      <c r="E102" s="620" t="s">
        <v>5869</v>
      </c>
      <c r="F102" s="621" t="s">
        <v>4545</v>
      </c>
      <c r="G102" s="620"/>
      <c r="H102" s="634" t="s">
        <v>1370</v>
      </c>
      <c r="I102" s="634" t="s">
        <v>5171</v>
      </c>
      <c r="J102" s="634" t="s">
        <v>5172</v>
      </c>
      <c r="K102" s="634" t="s">
        <v>6243</v>
      </c>
    </row>
    <row r="103" spans="1:11">
      <c r="A103" s="614" t="s">
        <v>4548</v>
      </c>
      <c r="B103" s="614" t="s">
        <v>6177</v>
      </c>
      <c r="C103" s="619" t="s">
        <v>5253</v>
      </c>
      <c r="D103" s="620" t="s">
        <v>5334</v>
      </c>
      <c r="E103" s="620" t="s">
        <v>5871</v>
      </c>
      <c r="F103" s="621" t="s">
        <v>4549</v>
      </c>
      <c r="G103" s="620"/>
      <c r="H103" s="634" t="s">
        <v>1370</v>
      </c>
      <c r="I103" s="634" t="s">
        <v>5171</v>
      </c>
      <c r="J103" s="634" t="s">
        <v>5172</v>
      </c>
      <c r="K103" s="634" t="s">
        <v>6243</v>
      </c>
    </row>
    <row r="104" spans="1:11">
      <c r="A104" s="614" t="s">
        <v>4385</v>
      </c>
      <c r="B104" s="614" t="s">
        <v>6177</v>
      </c>
      <c r="C104" s="619" t="s">
        <v>5253</v>
      </c>
      <c r="D104" s="620" t="s">
        <v>5335</v>
      </c>
      <c r="E104" s="620" t="s">
        <v>5872</v>
      </c>
      <c r="F104" s="621" t="s">
        <v>4386</v>
      </c>
      <c r="G104" s="620"/>
      <c r="H104" s="634" t="s">
        <v>1370</v>
      </c>
      <c r="I104" s="634" t="s">
        <v>5171</v>
      </c>
      <c r="J104" s="634" t="s">
        <v>5172</v>
      </c>
      <c r="K104" s="634" t="s">
        <v>6243</v>
      </c>
    </row>
    <row r="105" spans="1:11">
      <c r="A105" s="614" t="s">
        <v>4383</v>
      </c>
      <c r="B105" s="614" t="s">
        <v>6177</v>
      </c>
      <c r="C105" s="619" t="s">
        <v>5253</v>
      </c>
      <c r="D105" s="620" t="s">
        <v>5331</v>
      </c>
      <c r="E105" s="620" t="s">
        <v>5868</v>
      </c>
      <c r="F105" s="621" t="s">
        <v>4384</v>
      </c>
      <c r="G105" s="620"/>
      <c r="H105" s="634" t="s">
        <v>1370</v>
      </c>
      <c r="I105" s="634" t="s">
        <v>5171</v>
      </c>
      <c r="J105" s="634" t="s">
        <v>5172</v>
      </c>
      <c r="K105" s="634" t="s">
        <v>6243</v>
      </c>
    </row>
    <row r="106" spans="1:11">
      <c r="A106" s="614" t="s">
        <v>4542</v>
      </c>
      <c r="B106" s="614" t="s">
        <v>6177</v>
      </c>
      <c r="C106" s="619" t="s">
        <v>5253</v>
      </c>
      <c r="D106" s="620" t="s">
        <v>5336</v>
      </c>
      <c r="E106" s="620" t="s">
        <v>5873</v>
      </c>
      <c r="F106" s="621" t="s">
        <v>4543</v>
      </c>
      <c r="G106" s="620"/>
      <c r="H106" s="634" t="s">
        <v>1370</v>
      </c>
      <c r="I106" s="634" t="s">
        <v>5171</v>
      </c>
      <c r="J106" s="634" t="s">
        <v>5172</v>
      </c>
      <c r="K106" s="634" t="s">
        <v>6243</v>
      </c>
    </row>
    <row r="107" spans="1:11">
      <c r="A107" s="614" t="s">
        <v>4540</v>
      </c>
      <c r="B107" s="614" t="s">
        <v>6177</v>
      </c>
      <c r="C107" s="624" t="s">
        <v>5254</v>
      </c>
      <c r="D107" s="625" t="s">
        <v>5260</v>
      </c>
      <c r="E107" s="625" t="s">
        <v>5784</v>
      </c>
      <c r="F107" s="625" t="s">
        <v>4541</v>
      </c>
      <c r="G107" s="626"/>
      <c r="H107" s="634" t="s">
        <v>1370</v>
      </c>
      <c r="I107" s="634" t="s">
        <v>5171</v>
      </c>
      <c r="J107" s="634" t="s">
        <v>5172</v>
      </c>
      <c r="K107" s="634" t="s">
        <v>6243</v>
      </c>
    </row>
    <row r="108" spans="1:11">
      <c r="A108" s="614" t="s">
        <v>4393</v>
      </c>
      <c r="B108" s="614" t="s">
        <v>6177</v>
      </c>
      <c r="C108" s="627" t="s">
        <v>5194</v>
      </c>
      <c r="D108" s="628" t="s">
        <v>6244</v>
      </c>
      <c r="E108" s="633" t="s">
        <v>5641</v>
      </c>
      <c r="F108" s="628" t="s">
        <v>4394</v>
      </c>
      <c r="G108" s="633"/>
      <c r="H108" s="634" t="s">
        <v>1370</v>
      </c>
      <c r="I108" s="634" t="s">
        <v>10</v>
      </c>
      <c r="J108" s="634" t="s">
        <v>1955</v>
      </c>
      <c r="K108" s="634" t="s">
        <v>6245</v>
      </c>
    </row>
    <row r="109" spans="1:11">
      <c r="A109" s="614" t="s">
        <v>4554</v>
      </c>
      <c r="B109" s="614" t="s">
        <v>6177</v>
      </c>
      <c r="C109" s="627" t="s">
        <v>5194</v>
      </c>
      <c r="D109" s="628" t="s">
        <v>6246</v>
      </c>
      <c r="E109" s="633" t="s">
        <v>5642</v>
      </c>
      <c r="F109" s="628" t="s">
        <v>4555</v>
      </c>
      <c r="G109" s="633"/>
      <c r="H109" s="634" t="s">
        <v>1370</v>
      </c>
      <c r="I109" s="634" t="s">
        <v>10</v>
      </c>
      <c r="J109" s="634" t="s">
        <v>1955</v>
      </c>
      <c r="K109" s="634" t="s">
        <v>6245</v>
      </c>
    </row>
    <row r="110" spans="1:11">
      <c r="A110" s="614" t="s">
        <v>4391</v>
      </c>
      <c r="B110" s="614" t="s">
        <v>6177</v>
      </c>
      <c r="C110" s="627" t="s">
        <v>5194</v>
      </c>
      <c r="D110" s="628" t="s">
        <v>6247</v>
      </c>
      <c r="E110" s="633" t="s">
        <v>5640</v>
      </c>
      <c r="F110" s="628" t="s">
        <v>4392</v>
      </c>
      <c r="G110" s="633"/>
      <c r="H110" s="634" t="s">
        <v>1370</v>
      </c>
      <c r="I110" s="634" t="s">
        <v>10</v>
      </c>
      <c r="J110" s="634" t="s">
        <v>1955</v>
      </c>
      <c r="K110" s="634" t="s">
        <v>6245</v>
      </c>
    </row>
    <row r="111" spans="1:11">
      <c r="A111" s="614" t="s">
        <v>5067</v>
      </c>
      <c r="B111" s="614" t="s">
        <v>6177</v>
      </c>
      <c r="C111" s="629" t="s">
        <v>5255</v>
      </c>
      <c r="D111" s="630" t="s">
        <v>6248</v>
      </c>
      <c r="E111" s="630" t="s">
        <v>5663</v>
      </c>
      <c r="F111" s="630" t="s">
        <v>5068</v>
      </c>
      <c r="G111" s="630" t="s">
        <v>6248</v>
      </c>
      <c r="H111" s="634" t="s">
        <v>1370</v>
      </c>
      <c r="I111" s="634" t="s">
        <v>10</v>
      </c>
      <c r="J111" s="634" t="s">
        <v>1955</v>
      </c>
      <c r="K111" s="634" t="s">
        <v>6245</v>
      </c>
    </row>
    <row r="112" spans="1:11">
      <c r="A112" s="614" t="s">
        <v>4552</v>
      </c>
      <c r="B112" s="614" t="s">
        <v>6177</v>
      </c>
      <c r="C112" s="615" t="s">
        <v>5193</v>
      </c>
      <c r="D112" s="616" t="s">
        <v>5533</v>
      </c>
      <c r="E112" s="616" t="s">
        <v>5703</v>
      </c>
      <c r="F112" s="617" t="s">
        <v>4553</v>
      </c>
      <c r="G112" s="616"/>
      <c r="H112" s="634" t="s">
        <v>1370</v>
      </c>
      <c r="I112" s="634" t="s">
        <v>10</v>
      </c>
      <c r="J112" s="634" t="s">
        <v>1955</v>
      </c>
      <c r="K112" s="634" t="s">
        <v>6245</v>
      </c>
    </row>
    <row r="113" spans="1:11">
      <c r="A113" s="614" t="s">
        <v>4387</v>
      </c>
      <c r="B113" s="614" t="s">
        <v>6177</v>
      </c>
      <c r="C113" s="615" t="s">
        <v>5193</v>
      </c>
      <c r="D113" s="616" t="s">
        <v>5536</v>
      </c>
      <c r="E113" s="616" t="s">
        <v>5705</v>
      </c>
      <c r="F113" s="617" t="s">
        <v>4388</v>
      </c>
      <c r="G113" s="616"/>
      <c r="H113" s="634" t="s">
        <v>1370</v>
      </c>
      <c r="I113" s="634" t="s">
        <v>10</v>
      </c>
      <c r="J113" s="634" t="s">
        <v>1955</v>
      </c>
      <c r="K113" s="634" t="s">
        <v>6245</v>
      </c>
    </row>
    <row r="114" spans="1:11">
      <c r="A114" s="614" t="s">
        <v>4550</v>
      </c>
      <c r="B114" s="614" t="s">
        <v>6177</v>
      </c>
      <c r="C114" s="615" t="s">
        <v>5193</v>
      </c>
      <c r="D114" s="616" t="s">
        <v>5534</v>
      </c>
      <c r="E114" s="616" t="s">
        <v>5704</v>
      </c>
      <c r="F114" s="617" t="s">
        <v>4551</v>
      </c>
      <c r="G114" s="616" t="s">
        <v>6249</v>
      </c>
      <c r="H114" s="634" t="s">
        <v>1370</v>
      </c>
      <c r="I114" s="634" t="s">
        <v>10</v>
      </c>
      <c r="J114" s="634" t="s">
        <v>1955</v>
      </c>
      <c r="K114" s="634" t="s">
        <v>6245</v>
      </c>
    </row>
    <row r="115" spans="1:11">
      <c r="A115" s="614" t="s">
        <v>4389</v>
      </c>
      <c r="B115" s="614" t="s">
        <v>6177</v>
      </c>
      <c r="C115" s="615" t="s">
        <v>5193</v>
      </c>
      <c r="D115" s="616" t="s">
        <v>5532</v>
      </c>
      <c r="E115" s="616" t="s">
        <v>5702</v>
      </c>
      <c r="F115" s="617" t="s">
        <v>4390</v>
      </c>
      <c r="G115" s="616"/>
      <c r="H115" s="634" t="s">
        <v>1370</v>
      </c>
      <c r="I115" s="634" t="s">
        <v>10</v>
      </c>
      <c r="J115" s="634" t="s">
        <v>1955</v>
      </c>
      <c r="K115" s="634" t="s">
        <v>6245</v>
      </c>
    </row>
    <row r="116" spans="1:11">
      <c r="A116" s="614" t="s">
        <v>4997</v>
      </c>
      <c r="B116" s="614" t="s">
        <v>6177</v>
      </c>
      <c r="C116" s="615" t="s">
        <v>5193</v>
      </c>
      <c r="D116" s="616" t="s">
        <v>5535</v>
      </c>
      <c r="E116" s="616" t="s">
        <v>5706</v>
      </c>
      <c r="F116" s="617" t="s">
        <v>4998</v>
      </c>
      <c r="G116" s="616"/>
      <c r="H116" s="634" t="s">
        <v>1370</v>
      </c>
      <c r="I116" s="634" t="s">
        <v>10</v>
      </c>
      <c r="J116" s="634" t="s">
        <v>1955</v>
      </c>
      <c r="K116" s="634" t="s">
        <v>6245</v>
      </c>
    </row>
    <row r="117" spans="1:11">
      <c r="A117" s="614" t="s">
        <v>4556</v>
      </c>
      <c r="B117" s="614" t="s">
        <v>6174</v>
      </c>
      <c r="C117" s="619" t="s">
        <v>5253</v>
      </c>
      <c r="D117" s="620" t="s">
        <v>5337</v>
      </c>
      <c r="E117" s="620" t="s">
        <v>5887</v>
      </c>
      <c r="F117" s="621" t="s">
        <v>4557</v>
      </c>
      <c r="G117" s="620"/>
      <c r="H117" s="634" t="s">
        <v>1370</v>
      </c>
      <c r="I117" s="634" t="s">
        <v>10</v>
      </c>
      <c r="J117" s="634" t="s">
        <v>1955</v>
      </c>
      <c r="K117" s="634" t="s">
        <v>6245</v>
      </c>
    </row>
    <row r="118" spans="1:11">
      <c r="A118" s="614" t="s">
        <v>4966</v>
      </c>
      <c r="B118" s="614" t="s">
        <v>6177</v>
      </c>
      <c r="C118" s="619" t="s">
        <v>5253</v>
      </c>
      <c r="D118" s="620" t="s">
        <v>5343</v>
      </c>
      <c r="E118" s="620" t="s">
        <v>5893</v>
      </c>
      <c r="F118" s="621" t="s">
        <v>4967</v>
      </c>
      <c r="G118" s="620"/>
      <c r="H118" s="634" t="s">
        <v>1370</v>
      </c>
      <c r="I118" s="634" t="s">
        <v>10</v>
      </c>
      <c r="J118" s="634" t="s">
        <v>1955</v>
      </c>
      <c r="K118" s="634" t="s">
        <v>6245</v>
      </c>
    </row>
    <row r="119" spans="1:11">
      <c r="A119" s="614" t="s">
        <v>4962</v>
      </c>
      <c r="B119" s="614" t="s">
        <v>6177</v>
      </c>
      <c r="C119" s="619" t="s">
        <v>5253</v>
      </c>
      <c r="D119" s="620" t="s">
        <v>5338</v>
      </c>
      <c r="E119" s="620" t="s">
        <v>5888</v>
      </c>
      <c r="F119" s="621" t="s">
        <v>4963</v>
      </c>
      <c r="G119" s="620"/>
      <c r="H119" s="634" t="s">
        <v>1370</v>
      </c>
      <c r="I119" s="634" t="s">
        <v>10</v>
      </c>
      <c r="J119" s="634" t="s">
        <v>1955</v>
      </c>
      <c r="K119" s="634" t="s">
        <v>6245</v>
      </c>
    </row>
    <row r="120" spans="1:11">
      <c r="A120" s="614" t="s">
        <v>4964</v>
      </c>
      <c r="B120" s="614" t="s">
        <v>6177</v>
      </c>
      <c r="C120" s="619" t="s">
        <v>5253</v>
      </c>
      <c r="D120" s="620" t="s">
        <v>5339</v>
      </c>
      <c r="E120" s="620" t="s">
        <v>5889</v>
      </c>
      <c r="F120" s="621" t="s">
        <v>4965</v>
      </c>
      <c r="G120" s="620"/>
      <c r="H120" s="634" t="s">
        <v>1370</v>
      </c>
      <c r="I120" s="634" t="s">
        <v>10</v>
      </c>
      <c r="J120" s="634" t="s">
        <v>1955</v>
      </c>
      <c r="K120" s="634" t="s">
        <v>6250</v>
      </c>
    </row>
    <row r="121" spans="1:11">
      <c r="A121" s="614" t="s">
        <v>4558</v>
      </c>
      <c r="B121" s="614" t="s">
        <v>6177</v>
      </c>
      <c r="C121" s="619" t="s">
        <v>5253</v>
      </c>
      <c r="D121" s="620" t="s">
        <v>5342</v>
      </c>
      <c r="E121" s="620" t="s">
        <v>5892</v>
      </c>
      <c r="F121" s="621" t="s">
        <v>4559</v>
      </c>
      <c r="G121" s="620"/>
      <c r="H121" s="634" t="s">
        <v>1370</v>
      </c>
      <c r="I121" s="634" t="s">
        <v>10</v>
      </c>
      <c r="J121" s="634" t="s">
        <v>1955</v>
      </c>
      <c r="K121" s="634" t="s">
        <v>6245</v>
      </c>
    </row>
    <row r="122" spans="1:11">
      <c r="A122" s="614" t="s">
        <v>4395</v>
      </c>
      <c r="B122" s="614" t="s">
        <v>6177</v>
      </c>
      <c r="C122" s="619" t="s">
        <v>5253</v>
      </c>
      <c r="D122" s="620" t="s">
        <v>5340</v>
      </c>
      <c r="E122" s="620" t="s">
        <v>5890</v>
      </c>
      <c r="F122" s="621" t="s">
        <v>4396</v>
      </c>
      <c r="G122" s="620"/>
      <c r="H122" s="634" t="s">
        <v>1370</v>
      </c>
      <c r="I122" s="634" t="s">
        <v>10</v>
      </c>
      <c r="J122" s="634" t="s">
        <v>1955</v>
      </c>
      <c r="K122" s="634" t="s">
        <v>6245</v>
      </c>
    </row>
    <row r="123" spans="1:11">
      <c r="A123" s="614" t="s">
        <v>4704</v>
      </c>
      <c r="B123" s="614" t="s">
        <v>6177</v>
      </c>
      <c r="C123" s="624" t="s">
        <v>5254</v>
      </c>
      <c r="D123" s="625" t="s">
        <v>5261</v>
      </c>
      <c r="E123" s="625" t="s">
        <v>5785</v>
      </c>
      <c r="F123" s="625" t="s">
        <v>4705</v>
      </c>
      <c r="G123" s="626"/>
      <c r="H123" s="634" t="s">
        <v>6251</v>
      </c>
      <c r="I123" s="634" t="s">
        <v>5142</v>
      </c>
      <c r="J123" s="634" t="s">
        <v>5143</v>
      </c>
      <c r="K123" s="634" t="s">
        <v>6252</v>
      </c>
    </row>
    <row r="124" spans="1:11">
      <c r="A124" s="614" t="s">
        <v>4667</v>
      </c>
      <c r="B124" s="614" t="s">
        <v>6177</v>
      </c>
      <c r="C124" s="627" t="s">
        <v>5194</v>
      </c>
      <c r="D124" s="628" t="s">
        <v>6253</v>
      </c>
      <c r="E124" s="633" t="s">
        <v>5643</v>
      </c>
      <c r="F124" s="628" t="s">
        <v>4668</v>
      </c>
      <c r="G124" s="633"/>
      <c r="H124" s="634" t="s">
        <v>1370</v>
      </c>
      <c r="I124" s="634" t="s">
        <v>1282</v>
      </c>
      <c r="J124" s="634" t="s">
        <v>5169</v>
      </c>
      <c r="K124" s="634" t="s">
        <v>6254</v>
      </c>
    </row>
    <row r="125" spans="1:11">
      <c r="A125" s="614" t="s">
        <v>5095</v>
      </c>
      <c r="B125" s="614" t="s">
        <v>6177</v>
      </c>
      <c r="C125" s="629" t="s">
        <v>5255</v>
      </c>
      <c r="D125" s="630" t="s">
        <v>6255</v>
      </c>
      <c r="E125" s="630" t="s">
        <v>5664</v>
      </c>
      <c r="F125" s="630" t="s">
        <v>5096</v>
      </c>
      <c r="G125" s="630" t="s">
        <v>6255</v>
      </c>
      <c r="H125" s="634" t="s">
        <v>1370</v>
      </c>
      <c r="I125" s="634" t="s">
        <v>1282</v>
      </c>
      <c r="J125" s="634" t="s">
        <v>5169</v>
      </c>
      <c r="K125" s="634" t="s">
        <v>6254</v>
      </c>
    </row>
    <row r="126" spans="1:11">
      <c r="A126" s="614" t="s">
        <v>4675</v>
      </c>
      <c r="B126" s="614" t="s">
        <v>6177</v>
      </c>
      <c r="C126" s="615" t="s">
        <v>5193</v>
      </c>
      <c r="D126" s="616" t="s">
        <v>5538</v>
      </c>
      <c r="E126" s="616" t="s">
        <v>5710</v>
      </c>
      <c r="F126" s="617" t="s">
        <v>4676</v>
      </c>
      <c r="G126" s="616"/>
      <c r="H126" s="634" t="s">
        <v>1370</v>
      </c>
      <c r="I126" s="634" t="s">
        <v>1282</v>
      </c>
      <c r="J126" s="634" t="s">
        <v>5169</v>
      </c>
      <c r="K126" s="634" t="s">
        <v>6254</v>
      </c>
    </row>
    <row r="127" spans="1:11">
      <c r="A127" s="614" t="s">
        <v>4671</v>
      </c>
      <c r="B127" s="614" t="s">
        <v>6177</v>
      </c>
      <c r="C127" s="615" t="s">
        <v>5193</v>
      </c>
      <c r="D127" s="616" t="s">
        <v>5540</v>
      </c>
      <c r="E127" s="616" t="s">
        <v>5708</v>
      </c>
      <c r="F127" s="617" t="s">
        <v>4672</v>
      </c>
      <c r="G127" s="616"/>
      <c r="H127" s="634" t="s">
        <v>1370</v>
      </c>
      <c r="I127" s="634" t="s">
        <v>1282</v>
      </c>
      <c r="J127" s="634" t="s">
        <v>5169</v>
      </c>
      <c r="K127" s="634" t="s">
        <v>6254</v>
      </c>
    </row>
    <row r="128" spans="1:11">
      <c r="A128" s="614" t="s">
        <v>4673</v>
      </c>
      <c r="B128" s="614" t="s">
        <v>6177</v>
      </c>
      <c r="C128" s="615" t="s">
        <v>5193</v>
      </c>
      <c r="D128" s="616" t="s">
        <v>5537</v>
      </c>
      <c r="E128" s="616" t="s">
        <v>5709</v>
      </c>
      <c r="F128" s="617" t="s">
        <v>4674</v>
      </c>
      <c r="G128" s="616"/>
      <c r="H128" s="634" t="s">
        <v>1370</v>
      </c>
      <c r="I128" s="634" t="s">
        <v>1282</v>
      </c>
      <c r="J128" s="634" t="s">
        <v>5169</v>
      </c>
      <c r="K128" s="634" t="s">
        <v>6254</v>
      </c>
    </row>
    <row r="129" spans="1:11">
      <c r="A129" s="614" t="s">
        <v>4669</v>
      </c>
      <c r="B129" s="614" t="s">
        <v>6177</v>
      </c>
      <c r="C129" s="615" t="s">
        <v>5193</v>
      </c>
      <c r="D129" s="616" t="s">
        <v>5539</v>
      </c>
      <c r="E129" s="616" t="s">
        <v>5707</v>
      </c>
      <c r="F129" s="617" t="s">
        <v>4670</v>
      </c>
      <c r="G129" s="616"/>
      <c r="H129" s="634" t="s">
        <v>1370</v>
      </c>
      <c r="I129" s="634" t="s">
        <v>1282</v>
      </c>
      <c r="J129" s="634" t="s">
        <v>5169</v>
      </c>
      <c r="K129" s="634" t="s">
        <v>6254</v>
      </c>
    </row>
    <row r="130" spans="1:11">
      <c r="A130" s="614" t="s">
        <v>4960</v>
      </c>
      <c r="B130" s="614" t="s">
        <v>6177</v>
      </c>
      <c r="C130" s="619" t="s">
        <v>5253</v>
      </c>
      <c r="D130" s="620" t="s">
        <v>5345</v>
      </c>
      <c r="E130" s="620" t="s">
        <v>5895</v>
      </c>
      <c r="F130" s="621" t="s">
        <v>4961</v>
      </c>
      <c r="G130" s="620"/>
      <c r="H130" s="634" t="s">
        <v>1370</v>
      </c>
      <c r="I130" s="634" t="s">
        <v>1282</v>
      </c>
      <c r="J130" s="634" t="s">
        <v>5169</v>
      </c>
      <c r="K130" s="634" t="s">
        <v>6256</v>
      </c>
    </row>
    <row r="131" spans="1:11">
      <c r="A131" s="614" t="s">
        <v>4956</v>
      </c>
      <c r="B131" s="614" t="s">
        <v>6177</v>
      </c>
      <c r="C131" s="619" t="s">
        <v>5253</v>
      </c>
      <c r="D131" s="620" t="s">
        <v>5344</v>
      </c>
      <c r="E131" s="620" t="s">
        <v>5894</v>
      </c>
      <c r="F131" s="621" t="s">
        <v>4957</v>
      </c>
      <c r="G131" s="620"/>
      <c r="H131" s="634" t="s">
        <v>1370</v>
      </c>
      <c r="I131" s="634" t="s">
        <v>1282</v>
      </c>
      <c r="J131" s="634" t="s">
        <v>5169</v>
      </c>
      <c r="K131" s="634" t="s">
        <v>6254</v>
      </c>
    </row>
    <row r="132" spans="1:11">
      <c r="A132" s="614" t="s">
        <v>4680</v>
      </c>
      <c r="B132" s="614" t="s">
        <v>6177</v>
      </c>
      <c r="C132" s="619" t="s">
        <v>5253</v>
      </c>
      <c r="D132" s="620" t="s">
        <v>5346</v>
      </c>
      <c r="E132" s="620" t="s">
        <v>5896</v>
      </c>
      <c r="F132" s="621" t="s">
        <v>4681</v>
      </c>
      <c r="G132" s="620"/>
      <c r="H132" s="634" t="s">
        <v>1370</v>
      </c>
      <c r="I132" s="634" t="s">
        <v>1282</v>
      </c>
      <c r="J132" s="634" t="s">
        <v>5169</v>
      </c>
      <c r="K132" s="634" t="s">
        <v>6254</v>
      </c>
    </row>
    <row r="133" spans="1:11">
      <c r="A133" s="614" t="s">
        <v>4958</v>
      </c>
      <c r="B133" s="614" t="s">
        <v>6177</v>
      </c>
      <c r="C133" s="619" t="s">
        <v>5253</v>
      </c>
      <c r="D133" s="620" t="s">
        <v>5347</v>
      </c>
      <c r="E133" s="620" t="s">
        <v>5897</v>
      </c>
      <c r="F133" s="621" t="s">
        <v>4959</v>
      </c>
      <c r="G133" s="620"/>
      <c r="H133" s="634" t="s">
        <v>1370</v>
      </c>
      <c r="I133" s="634" t="s">
        <v>1282</v>
      </c>
      <c r="J133" s="634" t="s">
        <v>5169</v>
      </c>
      <c r="K133" s="634" t="s">
        <v>6254</v>
      </c>
    </row>
    <row r="134" spans="1:11">
      <c r="A134" s="614" t="s">
        <v>4534</v>
      </c>
      <c r="B134" s="614" t="s">
        <v>6177</v>
      </c>
      <c r="C134" s="627" t="s">
        <v>5194</v>
      </c>
      <c r="D134" s="628" t="s">
        <v>6257</v>
      </c>
      <c r="E134" s="633" t="s">
        <v>5639</v>
      </c>
      <c r="F134" s="628" t="s">
        <v>4535</v>
      </c>
      <c r="G134" s="633"/>
      <c r="H134" s="634" t="s">
        <v>1370</v>
      </c>
      <c r="I134" s="634" t="s">
        <v>30</v>
      </c>
      <c r="J134" s="634" t="s">
        <v>5170</v>
      </c>
      <c r="K134" s="634" t="s">
        <v>6258</v>
      </c>
    </row>
    <row r="135" spans="1:11">
      <c r="A135" s="614" t="s">
        <v>4532</v>
      </c>
      <c r="B135" s="614" t="s">
        <v>6177</v>
      </c>
      <c r="C135" s="615" t="s">
        <v>5193</v>
      </c>
      <c r="D135" s="616" t="s">
        <v>5542</v>
      </c>
      <c r="E135" s="616" t="s">
        <v>5701</v>
      </c>
      <c r="F135" s="617" t="s">
        <v>4533</v>
      </c>
      <c r="G135" s="616"/>
      <c r="H135" s="634" t="s">
        <v>1370</v>
      </c>
      <c r="I135" s="634" t="s">
        <v>30</v>
      </c>
      <c r="J135" s="634" t="s">
        <v>5170</v>
      </c>
      <c r="K135" s="634" t="s">
        <v>6258</v>
      </c>
    </row>
    <row r="136" spans="1:11">
      <c r="A136" s="614" t="s">
        <v>4373</v>
      </c>
      <c r="B136" s="614" t="s">
        <v>6177</v>
      </c>
      <c r="C136" s="615" t="s">
        <v>5193</v>
      </c>
      <c r="D136" s="616" t="s">
        <v>5541</v>
      </c>
      <c r="E136" s="616" t="s">
        <v>5700</v>
      </c>
      <c r="F136" s="617" t="s">
        <v>4374</v>
      </c>
      <c r="G136" s="616"/>
      <c r="H136" s="634" t="s">
        <v>1370</v>
      </c>
      <c r="I136" s="634" t="s">
        <v>30</v>
      </c>
      <c r="J136" s="634" t="s">
        <v>5170</v>
      </c>
      <c r="K136" s="634" t="s">
        <v>6258</v>
      </c>
    </row>
    <row r="137" spans="1:11">
      <c r="A137" s="614" t="s">
        <v>4993</v>
      </c>
      <c r="B137" s="614" t="s">
        <v>6177</v>
      </c>
      <c r="C137" s="615" t="s">
        <v>5193</v>
      </c>
      <c r="D137" s="616" t="s">
        <v>5543</v>
      </c>
      <c r="E137" s="616" t="s">
        <v>5699</v>
      </c>
      <c r="F137" s="617" t="s">
        <v>4994</v>
      </c>
      <c r="G137" s="616"/>
      <c r="H137" s="634" t="s">
        <v>1370</v>
      </c>
      <c r="I137" s="634" t="s">
        <v>30</v>
      </c>
      <c r="J137" s="634" t="s">
        <v>5170</v>
      </c>
      <c r="K137" s="634" t="s">
        <v>6258</v>
      </c>
    </row>
    <row r="138" spans="1:11">
      <c r="A138" s="614" t="s">
        <v>4995</v>
      </c>
      <c r="B138" s="614" t="s">
        <v>6177</v>
      </c>
      <c r="C138" s="615" t="s">
        <v>5193</v>
      </c>
      <c r="D138" s="616" t="s">
        <v>5544</v>
      </c>
      <c r="E138" s="616" t="s">
        <v>5698</v>
      </c>
      <c r="F138" s="617" t="s">
        <v>4996</v>
      </c>
      <c r="G138" s="616"/>
      <c r="H138" s="634" t="s">
        <v>1370</v>
      </c>
      <c r="I138" s="634" t="s">
        <v>30</v>
      </c>
      <c r="J138" s="634" t="s">
        <v>5170</v>
      </c>
      <c r="K138" s="634" t="s">
        <v>6258</v>
      </c>
    </row>
    <row r="139" spans="1:11">
      <c r="A139" s="614" t="s">
        <v>4381</v>
      </c>
      <c r="B139" s="614" t="s">
        <v>6177</v>
      </c>
      <c r="C139" s="619" t="s">
        <v>5253</v>
      </c>
      <c r="D139" s="620" t="s">
        <v>5348</v>
      </c>
      <c r="E139" s="620" t="s">
        <v>5881</v>
      </c>
      <c r="F139" s="621" t="s">
        <v>4382</v>
      </c>
      <c r="G139" s="620"/>
      <c r="H139" s="634" t="s">
        <v>1370</v>
      </c>
      <c r="I139" s="634" t="s">
        <v>30</v>
      </c>
      <c r="J139" s="634" t="s">
        <v>5170</v>
      </c>
      <c r="K139" s="634" t="s">
        <v>6258</v>
      </c>
    </row>
    <row r="140" spans="1:11">
      <c r="A140" s="614" t="s">
        <v>4536</v>
      </c>
      <c r="B140" s="614" t="s">
        <v>6177</v>
      </c>
      <c r="C140" s="619" t="s">
        <v>5253</v>
      </c>
      <c r="D140" s="620" t="s">
        <v>5349</v>
      </c>
      <c r="E140" s="620" t="s">
        <v>5882</v>
      </c>
      <c r="F140" s="621" t="s">
        <v>4537</v>
      </c>
      <c r="G140" s="620"/>
      <c r="H140" s="634" t="s">
        <v>1370</v>
      </c>
      <c r="I140" s="634" t="s">
        <v>30</v>
      </c>
      <c r="J140" s="634" t="s">
        <v>5170</v>
      </c>
      <c r="K140" s="634" t="s">
        <v>6258</v>
      </c>
    </row>
    <row r="141" spans="1:11">
      <c r="A141" s="614" t="s">
        <v>4538</v>
      </c>
      <c r="B141" s="614" t="s">
        <v>6177</v>
      </c>
      <c r="C141" s="619" t="s">
        <v>5253</v>
      </c>
      <c r="D141" s="620" t="s">
        <v>5350</v>
      </c>
      <c r="E141" s="620" t="s">
        <v>5883</v>
      </c>
      <c r="F141" s="621" t="s">
        <v>4539</v>
      </c>
      <c r="G141" s="620"/>
      <c r="H141" s="634" t="s">
        <v>1370</v>
      </c>
      <c r="I141" s="634" t="s">
        <v>30</v>
      </c>
      <c r="J141" s="634" t="s">
        <v>5170</v>
      </c>
      <c r="K141" s="634" t="s">
        <v>6258</v>
      </c>
    </row>
    <row r="142" spans="1:11">
      <c r="A142" s="614" t="s">
        <v>4377</v>
      </c>
      <c r="B142" s="614" t="s">
        <v>6177</v>
      </c>
      <c r="C142" s="619" t="s">
        <v>5253</v>
      </c>
      <c r="D142" s="620" t="s">
        <v>5353</v>
      </c>
      <c r="E142" s="620" t="s">
        <v>5886</v>
      </c>
      <c r="F142" s="621" t="s">
        <v>4378</v>
      </c>
      <c r="G142" s="620"/>
      <c r="H142" s="634" t="s">
        <v>1370</v>
      </c>
      <c r="I142" s="634" t="s">
        <v>30</v>
      </c>
      <c r="J142" s="634" t="s">
        <v>5170</v>
      </c>
      <c r="K142" s="634" t="s">
        <v>6258</v>
      </c>
    </row>
    <row r="143" spans="1:11">
      <c r="A143" s="614" t="s">
        <v>4379</v>
      </c>
      <c r="B143" s="614" t="s">
        <v>6177</v>
      </c>
      <c r="C143" s="619" t="s">
        <v>5253</v>
      </c>
      <c r="D143" s="620" t="s">
        <v>5351</v>
      </c>
      <c r="E143" s="620" t="s">
        <v>5884</v>
      </c>
      <c r="F143" s="621" t="s">
        <v>4380</v>
      </c>
      <c r="G143" s="620"/>
      <c r="H143" s="634" t="s">
        <v>1370</v>
      </c>
      <c r="I143" s="634" t="s">
        <v>30</v>
      </c>
      <c r="J143" s="634" t="s">
        <v>5170</v>
      </c>
      <c r="K143" s="634" t="s">
        <v>6258</v>
      </c>
    </row>
    <row r="144" spans="1:11">
      <c r="A144" s="614" t="s">
        <v>4375</v>
      </c>
      <c r="B144" s="614" t="s">
        <v>6177</v>
      </c>
      <c r="C144" s="619" t="s">
        <v>5253</v>
      </c>
      <c r="D144" s="620" t="s">
        <v>5352</v>
      </c>
      <c r="E144" s="620" t="s">
        <v>5885</v>
      </c>
      <c r="F144" s="621" t="s">
        <v>4376</v>
      </c>
      <c r="G144" s="620"/>
      <c r="H144" s="634" t="s">
        <v>1370</v>
      </c>
      <c r="I144" s="634" t="s">
        <v>30</v>
      </c>
      <c r="J144" s="634" t="s">
        <v>5170</v>
      </c>
      <c r="K144" s="634" t="s">
        <v>6258</v>
      </c>
    </row>
    <row r="145" spans="1:11">
      <c r="A145" s="614" t="s">
        <v>4399</v>
      </c>
      <c r="B145" s="614" t="s">
        <v>6177</v>
      </c>
      <c r="C145" s="627" t="s">
        <v>5194</v>
      </c>
      <c r="D145" s="628" t="s">
        <v>6259</v>
      </c>
      <c r="E145" s="633" t="s">
        <v>5637</v>
      </c>
      <c r="F145" s="628" t="s">
        <v>4400</v>
      </c>
      <c r="G145" s="633"/>
      <c r="H145" s="634" t="s">
        <v>1370</v>
      </c>
      <c r="I145" s="634" t="s">
        <v>1276</v>
      </c>
      <c r="J145" s="634" t="s">
        <v>5168</v>
      </c>
      <c r="K145" s="634" t="s">
        <v>6260</v>
      </c>
    </row>
    <row r="146" spans="1:11">
      <c r="A146" s="614" t="s">
        <v>4397</v>
      </c>
      <c r="B146" s="614" t="s">
        <v>6177</v>
      </c>
      <c r="C146" s="627" t="s">
        <v>5194</v>
      </c>
      <c r="D146" s="628" t="s">
        <v>6261</v>
      </c>
      <c r="E146" s="633" t="s">
        <v>5638</v>
      </c>
      <c r="F146" s="628" t="s">
        <v>4398</v>
      </c>
      <c r="G146" s="633"/>
      <c r="H146" s="634" t="s">
        <v>1370</v>
      </c>
      <c r="I146" s="634" t="s">
        <v>1276</v>
      </c>
      <c r="J146" s="634" t="s">
        <v>5168</v>
      </c>
      <c r="K146" s="634" t="s">
        <v>6260</v>
      </c>
    </row>
    <row r="147" spans="1:11">
      <c r="A147" s="614" t="s">
        <v>5093</v>
      </c>
      <c r="B147" s="614" t="s">
        <v>6177</v>
      </c>
      <c r="C147" s="629" t="s">
        <v>5255</v>
      </c>
      <c r="D147" s="630" t="s">
        <v>6262</v>
      </c>
      <c r="E147" s="630" t="s">
        <v>5662</v>
      </c>
      <c r="F147" s="630" t="s">
        <v>5094</v>
      </c>
      <c r="G147" s="630" t="s">
        <v>6262</v>
      </c>
      <c r="H147" s="634" t="s">
        <v>6251</v>
      </c>
      <c r="I147" s="634" t="s">
        <v>1276</v>
      </c>
      <c r="J147" s="634" t="s">
        <v>5168</v>
      </c>
      <c r="K147" s="634" t="s">
        <v>6260</v>
      </c>
    </row>
    <row r="148" spans="1:11">
      <c r="A148" s="614" t="s">
        <v>4677</v>
      </c>
      <c r="B148" s="614" t="s">
        <v>6177</v>
      </c>
      <c r="C148" s="619" t="s">
        <v>5253</v>
      </c>
      <c r="D148" s="620" t="s">
        <v>5356</v>
      </c>
      <c r="E148" s="620" t="s">
        <v>5876</v>
      </c>
      <c r="F148" s="621" t="s">
        <v>4678</v>
      </c>
      <c r="G148" s="620"/>
      <c r="H148" s="634" t="s">
        <v>1370</v>
      </c>
      <c r="I148" s="634" t="s">
        <v>1276</v>
      </c>
      <c r="J148" s="634" t="s">
        <v>5168</v>
      </c>
      <c r="K148" s="634" t="s">
        <v>6260</v>
      </c>
    </row>
    <row r="149" spans="1:11">
      <c r="A149" s="614" t="s">
        <v>4564</v>
      </c>
      <c r="B149" s="614" t="s">
        <v>6177</v>
      </c>
      <c r="C149" s="619" t="s">
        <v>5253</v>
      </c>
      <c r="D149" s="620" t="s">
        <v>5358</v>
      </c>
      <c r="E149" s="620" t="s">
        <v>5878</v>
      </c>
      <c r="F149" s="621" t="s">
        <v>4565</v>
      </c>
      <c r="G149" s="620"/>
      <c r="H149" s="634" t="s">
        <v>1370</v>
      </c>
      <c r="I149" s="634" t="s">
        <v>1276</v>
      </c>
      <c r="J149" s="634" t="s">
        <v>5168</v>
      </c>
      <c r="K149" s="634" t="s">
        <v>6260</v>
      </c>
    </row>
    <row r="150" spans="1:11">
      <c r="A150" s="614" t="s">
        <v>4403</v>
      </c>
      <c r="B150" s="614" t="s">
        <v>6177</v>
      </c>
      <c r="C150" s="619" t="s">
        <v>5253</v>
      </c>
      <c r="D150" s="620" t="s">
        <v>5354</v>
      </c>
      <c r="E150" s="620" t="s">
        <v>5874</v>
      </c>
      <c r="F150" s="621" t="s">
        <v>4404</v>
      </c>
      <c r="G150" s="620"/>
      <c r="H150" s="634" t="s">
        <v>1370</v>
      </c>
      <c r="I150" s="634" t="s">
        <v>1276</v>
      </c>
      <c r="J150" s="634" t="s">
        <v>5168</v>
      </c>
      <c r="K150" s="634" t="s">
        <v>6260</v>
      </c>
    </row>
    <row r="151" spans="1:11">
      <c r="A151" s="614" t="s">
        <v>4401</v>
      </c>
      <c r="B151" s="614" t="s">
        <v>6177</v>
      </c>
      <c r="C151" s="619" t="s">
        <v>5253</v>
      </c>
      <c r="D151" s="620" t="s">
        <v>5360</v>
      </c>
      <c r="E151" s="620" t="s">
        <v>5880</v>
      </c>
      <c r="F151" s="621" t="s">
        <v>4402</v>
      </c>
      <c r="G151" s="620"/>
      <c r="H151" s="634" t="s">
        <v>1370</v>
      </c>
      <c r="I151" s="634" t="s">
        <v>1276</v>
      </c>
      <c r="J151" s="634" t="s">
        <v>5168</v>
      </c>
      <c r="K151" s="634" t="s">
        <v>6260</v>
      </c>
    </row>
    <row r="152" spans="1:11">
      <c r="A152" s="614" t="s">
        <v>4405</v>
      </c>
      <c r="B152" s="614" t="s">
        <v>6177</v>
      </c>
      <c r="C152" s="619" t="s">
        <v>5253</v>
      </c>
      <c r="D152" s="620" t="s">
        <v>5355</v>
      </c>
      <c r="E152" s="620" t="s">
        <v>5875</v>
      </c>
      <c r="F152" s="621" t="s">
        <v>4406</v>
      </c>
      <c r="G152" s="620"/>
      <c r="H152" s="634" t="s">
        <v>1370</v>
      </c>
      <c r="I152" s="634" t="s">
        <v>1276</v>
      </c>
      <c r="J152" s="634" t="s">
        <v>5168</v>
      </c>
      <c r="K152" s="634" t="s">
        <v>6260</v>
      </c>
    </row>
    <row r="153" spans="1:11">
      <c r="A153" s="614" t="s">
        <v>4560</v>
      </c>
      <c r="B153" s="614" t="s">
        <v>6177</v>
      </c>
      <c r="C153" s="619" t="s">
        <v>5253</v>
      </c>
      <c r="D153" s="620" t="s">
        <v>5359</v>
      </c>
      <c r="E153" s="620" t="s">
        <v>5879</v>
      </c>
      <c r="F153" s="621" t="s">
        <v>4561</v>
      </c>
      <c r="G153" s="620"/>
      <c r="H153" s="634" t="s">
        <v>1370</v>
      </c>
      <c r="I153" s="634" t="s">
        <v>1276</v>
      </c>
      <c r="J153" s="634" t="s">
        <v>5168</v>
      </c>
      <c r="K153" s="634" t="s">
        <v>6260</v>
      </c>
    </row>
    <row r="154" spans="1:11">
      <c r="A154" s="614" t="s">
        <v>5029</v>
      </c>
      <c r="B154" s="614" t="s">
        <v>6177</v>
      </c>
      <c r="C154" s="615" t="s">
        <v>5193</v>
      </c>
      <c r="D154" s="616" t="s">
        <v>5545</v>
      </c>
      <c r="E154" s="616" t="s">
        <v>5697</v>
      </c>
      <c r="F154" s="617" t="s">
        <v>5030</v>
      </c>
      <c r="G154" s="616"/>
      <c r="H154" s="634" t="s">
        <v>1370</v>
      </c>
      <c r="I154" s="634" t="s">
        <v>1276</v>
      </c>
      <c r="J154" s="634" t="s">
        <v>5168</v>
      </c>
      <c r="K154" s="634" t="s">
        <v>6260</v>
      </c>
    </row>
    <row r="155" spans="1:11">
      <c r="A155" s="614" t="s">
        <v>4562</v>
      </c>
      <c r="B155" s="614" t="s">
        <v>6177</v>
      </c>
      <c r="C155" s="619" t="s">
        <v>5253</v>
      </c>
      <c r="D155" s="620" t="s">
        <v>5357</v>
      </c>
      <c r="E155" s="620" t="s">
        <v>5877</v>
      </c>
      <c r="F155" s="621" t="s">
        <v>4563</v>
      </c>
      <c r="G155" s="620"/>
      <c r="H155" s="634" t="s">
        <v>1370</v>
      </c>
      <c r="I155" s="634" t="s">
        <v>1276</v>
      </c>
      <c r="J155" s="634" t="s">
        <v>5168</v>
      </c>
      <c r="K155" s="634" t="s">
        <v>6260</v>
      </c>
    </row>
    <row r="156" spans="1:11">
      <c r="A156" s="614" t="s">
        <v>5079</v>
      </c>
      <c r="B156" s="614" t="s">
        <v>6177</v>
      </c>
      <c r="C156" s="627" t="s">
        <v>5194</v>
      </c>
      <c r="D156" s="628" t="s">
        <v>6263</v>
      </c>
      <c r="E156" s="633" t="s">
        <v>5630</v>
      </c>
      <c r="F156" s="628" t="s">
        <v>5080</v>
      </c>
      <c r="G156" s="633"/>
      <c r="H156" s="634" t="s">
        <v>1370</v>
      </c>
      <c r="I156" s="634" t="s">
        <v>5144</v>
      </c>
      <c r="J156" s="634" t="s">
        <v>5145</v>
      </c>
      <c r="K156" s="634" t="s">
        <v>6264</v>
      </c>
    </row>
    <row r="157" spans="1:11">
      <c r="A157" s="614" t="s">
        <v>5081</v>
      </c>
      <c r="B157" s="614" t="s">
        <v>6177</v>
      </c>
      <c r="C157" s="627" t="s">
        <v>5194</v>
      </c>
      <c r="D157" s="628" t="s">
        <v>6265</v>
      </c>
      <c r="E157" s="633" t="s">
        <v>5629</v>
      </c>
      <c r="F157" s="628" t="s">
        <v>5082</v>
      </c>
      <c r="G157" s="633"/>
      <c r="H157" s="634" t="s">
        <v>1370</v>
      </c>
      <c r="I157" s="634" t="s">
        <v>5144</v>
      </c>
      <c r="J157" s="634" t="s">
        <v>5145</v>
      </c>
      <c r="K157" s="634" t="s">
        <v>6264</v>
      </c>
    </row>
    <row r="158" spans="1:11">
      <c r="A158" s="614" t="s">
        <v>5091</v>
      </c>
      <c r="B158" s="614" t="s">
        <v>6177</v>
      </c>
      <c r="C158" s="615" t="s">
        <v>5193</v>
      </c>
      <c r="D158" s="616" t="s">
        <v>5546</v>
      </c>
      <c r="E158" s="616" t="s">
        <v>5675</v>
      </c>
      <c r="F158" s="617" t="s">
        <v>5092</v>
      </c>
      <c r="G158" s="616" t="s">
        <v>6266</v>
      </c>
      <c r="H158" s="634" t="s">
        <v>1370</v>
      </c>
      <c r="I158" s="634" t="s">
        <v>5144</v>
      </c>
      <c r="J158" s="634" t="s">
        <v>5145</v>
      </c>
      <c r="K158" s="634" t="s">
        <v>6264</v>
      </c>
    </row>
    <row r="159" spans="1:11">
      <c r="A159" s="614" t="s">
        <v>5087</v>
      </c>
      <c r="B159" s="614" t="s">
        <v>6177</v>
      </c>
      <c r="C159" s="619" t="s">
        <v>5253</v>
      </c>
      <c r="D159" s="620" t="s">
        <v>5362</v>
      </c>
      <c r="E159" s="620" t="s">
        <v>5806</v>
      </c>
      <c r="F159" s="621" t="s">
        <v>5088</v>
      </c>
      <c r="G159" s="620"/>
      <c r="H159" s="634" t="s">
        <v>1370</v>
      </c>
      <c r="I159" s="634" t="s">
        <v>5144</v>
      </c>
      <c r="J159" s="634" t="s">
        <v>5145</v>
      </c>
      <c r="K159" s="634" t="s">
        <v>6264</v>
      </c>
    </row>
    <row r="160" spans="1:11">
      <c r="A160" s="614" t="s">
        <v>5085</v>
      </c>
      <c r="B160" s="614" t="s">
        <v>6177</v>
      </c>
      <c r="C160" s="619" t="s">
        <v>5253</v>
      </c>
      <c r="D160" s="620" t="s">
        <v>5361</v>
      </c>
      <c r="E160" s="620" t="s">
        <v>5805</v>
      </c>
      <c r="F160" s="621" t="s">
        <v>5086</v>
      </c>
      <c r="G160" s="620"/>
      <c r="H160" s="634" t="s">
        <v>1370</v>
      </c>
      <c r="I160" s="634" t="s">
        <v>5144</v>
      </c>
      <c r="J160" s="634" t="s">
        <v>5145</v>
      </c>
      <c r="K160" s="634" t="s">
        <v>6264</v>
      </c>
    </row>
    <row r="161" spans="1:11">
      <c r="A161" s="614" t="s">
        <v>5089</v>
      </c>
      <c r="B161" s="614" t="s">
        <v>6177</v>
      </c>
      <c r="C161" s="619" t="s">
        <v>5253</v>
      </c>
      <c r="D161" s="620" t="s">
        <v>5363</v>
      </c>
      <c r="E161" s="620" t="s">
        <v>5807</v>
      </c>
      <c r="F161" s="621" t="s">
        <v>5090</v>
      </c>
      <c r="G161" s="620" t="s">
        <v>6267</v>
      </c>
      <c r="H161" s="634" t="s">
        <v>1370</v>
      </c>
      <c r="I161" s="634" t="s">
        <v>5144</v>
      </c>
      <c r="J161" s="634" t="s">
        <v>5145</v>
      </c>
      <c r="K161" s="634" t="s">
        <v>6264</v>
      </c>
    </row>
    <row r="162" spans="1:11">
      <c r="A162" s="614" t="s">
        <v>5083</v>
      </c>
      <c r="B162" s="614" t="s">
        <v>6177</v>
      </c>
      <c r="C162" s="619" t="s">
        <v>5253</v>
      </c>
      <c r="D162" s="620" t="s">
        <v>5364</v>
      </c>
      <c r="E162" s="620" t="s">
        <v>5808</v>
      </c>
      <c r="F162" s="621" t="s">
        <v>5084</v>
      </c>
      <c r="G162" s="620"/>
      <c r="H162" s="634" t="s">
        <v>1370</v>
      </c>
      <c r="I162" s="634" t="s">
        <v>5144</v>
      </c>
      <c r="J162" s="634" t="s">
        <v>5145</v>
      </c>
      <c r="K162" s="634" t="s">
        <v>6264</v>
      </c>
    </row>
    <row r="163" spans="1:11">
      <c r="A163" s="614" t="s">
        <v>5025</v>
      </c>
      <c r="B163" s="614" t="s">
        <v>6177</v>
      </c>
      <c r="C163" s="615" t="s">
        <v>5193</v>
      </c>
      <c r="D163" s="616" t="s">
        <v>5548</v>
      </c>
      <c r="E163" s="616" t="s">
        <v>5712</v>
      </c>
      <c r="F163" s="617" t="s">
        <v>5026</v>
      </c>
      <c r="G163" s="616"/>
      <c r="H163" s="634" t="s">
        <v>1370</v>
      </c>
      <c r="I163" s="634" t="s">
        <v>5173</v>
      </c>
      <c r="J163" s="634" t="s">
        <v>5174</v>
      </c>
      <c r="K163" s="634" t="s">
        <v>6268</v>
      </c>
    </row>
    <row r="164" spans="1:11">
      <c r="A164" s="614" t="s">
        <v>5027</v>
      </c>
      <c r="B164" s="614" t="s">
        <v>6177</v>
      </c>
      <c r="C164" s="615" t="s">
        <v>5193</v>
      </c>
      <c r="D164" s="616" t="s">
        <v>5547</v>
      </c>
      <c r="E164" s="616" t="s">
        <v>5711</v>
      </c>
      <c r="F164" s="617" t="s">
        <v>5028</v>
      </c>
      <c r="G164" s="616"/>
      <c r="H164" s="634" t="s">
        <v>1370</v>
      </c>
      <c r="I164" s="634" t="s">
        <v>5173</v>
      </c>
      <c r="J164" s="634" t="s">
        <v>5174</v>
      </c>
      <c r="K164" s="634" t="s">
        <v>6268</v>
      </c>
    </row>
    <row r="165" spans="1:11">
      <c r="A165" s="614" t="s">
        <v>4407</v>
      </c>
      <c r="B165" s="614" t="s">
        <v>6177</v>
      </c>
      <c r="C165" s="619" t="s">
        <v>5253</v>
      </c>
      <c r="D165" s="620" t="s">
        <v>5370</v>
      </c>
      <c r="E165" s="620" t="s">
        <v>5903</v>
      </c>
      <c r="F165" s="621" t="s">
        <v>4408</v>
      </c>
      <c r="G165" s="620"/>
      <c r="H165" s="634" t="s">
        <v>1370</v>
      </c>
      <c r="I165" s="634" t="s">
        <v>5173</v>
      </c>
      <c r="J165" s="634" t="s">
        <v>5174</v>
      </c>
      <c r="K165" s="634" t="s">
        <v>6268</v>
      </c>
    </row>
    <row r="166" spans="1:11">
      <c r="A166" s="614" t="s">
        <v>4411</v>
      </c>
      <c r="B166" s="614" t="s">
        <v>6177</v>
      </c>
      <c r="C166" s="619" t="s">
        <v>5253</v>
      </c>
      <c r="D166" s="620" t="s">
        <v>5365</v>
      </c>
      <c r="E166" s="620" t="s">
        <v>5898</v>
      </c>
      <c r="F166" s="621" t="s">
        <v>4412</v>
      </c>
      <c r="G166" s="620"/>
      <c r="H166" s="634" t="s">
        <v>1370</v>
      </c>
      <c r="I166" s="634" t="s">
        <v>5173</v>
      </c>
      <c r="J166" s="634" t="s">
        <v>5174</v>
      </c>
      <c r="K166" s="634" t="s">
        <v>6268</v>
      </c>
    </row>
    <row r="167" spans="1:11">
      <c r="A167" s="614" t="s">
        <v>4415</v>
      </c>
      <c r="B167" s="614" t="s">
        <v>6174</v>
      </c>
      <c r="C167" s="619" t="s">
        <v>5253</v>
      </c>
      <c r="D167" s="620" t="s">
        <v>5371</v>
      </c>
      <c r="E167" s="620" t="s">
        <v>5904</v>
      </c>
      <c r="F167" s="621" t="s">
        <v>4416</v>
      </c>
      <c r="G167" s="620"/>
      <c r="H167" s="634" t="s">
        <v>1370</v>
      </c>
      <c r="I167" s="634" t="s">
        <v>5173</v>
      </c>
      <c r="J167" s="634" t="s">
        <v>5174</v>
      </c>
      <c r="K167" s="634" t="s">
        <v>6268</v>
      </c>
    </row>
    <row r="168" spans="1:11">
      <c r="A168" s="614" t="s">
        <v>4570</v>
      </c>
      <c r="B168" s="614" t="s">
        <v>6177</v>
      </c>
      <c r="C168" s="619" t="s">
        <v>5253</v>
      </c>
      <c r="D168" s="620" t="s">
        <v>5367</v>
      </c>
      <c r="E168" s="620" t="s">
        <v>5900</v>
      </c>
      <c r="F168" s="621" t="s">
        <v>4571</v>
      </c>
      <c r="G168" s="620"/>
      <c r="H168" s="634" t="s">
        <v>1370</v>
      </c>
      <c r="I168" s="634" t="s">
        <v>5173</v>
      </c>
      <c r="J168" s="634" t="s">
        <v>5174</v>
      </c>
      <c r="K168" s="634" t="s">
        <v>6268</v>
      </c>
    </row>
    <row r="169" spans="1:11">
      <c r="A169" s="614" t="s">
        <v>4419</v>
      </c>
      <c r="B169" s="614" t="s">
        <v>6177</v>
      </c>
      <c r="C169" s="619" t="s">
        <v>5253</v>
      </c>
      <c r="D169" s="620" t="s">
        <v>5368</v>
      </c>
      <c r="E169" s="620" t="s">
        <v>5901</v>
      </c>
      <c r="F169" s="621" t="s">
        <v>4420</v>
      </c>
      <c r="G169" s="620"/>
      <c r="H169" s="634" t="s">
        <v>1370</v>
      </c>
      <c r="I169" s="634" t="s">
        <v>5173</v>
      </c>
      <c r="J169" s="634" t="s">
        <v>5174</v>
      </c>
      <c r="K169" s="634" t="s">
        <v>6268</v>
      </c>
    </row>
    <row r="170" spans="1:11">
      <c r="A170" s="614" t="s">
        <v>4568</v>
      </c>
      <c r="B170" s="614" t="s">
        <v>6177</v>
      </c>
      <c r="C170" s="619" t="s">
        <v>5253</v>
      </c>
      <c r="D170" s="620" t="s">
        <v>5366</v>
      </c>
      <c r="E170" s="620" t="s">
        <v>5899</v>
      </c>
      <c r="F170" s="621" t="s">
        <v>4569</v>
      </c>
      <c r="G170" s="620"/>
      <c r="H170" s="634" t="s">
        <v>1370</v>
      </c>
      <c r="I170" s="634" t="s">
        <v>5173</v>
      </c>
      <c r="J170" s="634" t="s">
        <v>5174</v>
      </c>
      <c r="K170" s="634" t="s">
        <v>6268</v>
      </c>
    </row>
    <row r="171" spans="1:11">
      <c r="A171" s="614" t="s">
        <v>4417</v>
      </c>
      <c r="B171" s="614" t="s">
        <v>6177</v>
      </c>
      <c r="C171" s="619" t="s">
        <v>5253</v>
      </c>
      <c r="D171" s="620" t="s">
        <v>5369</v>
      </c>
      <c r="E171" s="620" t="s">
        <v>5902</v>
      </c>
      <c r="F171" s="621" t="s">
        <v>4418</v>
      </c>
      <c r="G171" s="620"/>
      <c r="H171" s="634" t="s">
        <v>1370</v>
      </c>
      <c r="I171" s="634" t="s">
        <v>5173</v>
      </c>
      <c r="J171" s="634" t="s">
        <v>5174</v>
      </c>
      <c r="K171" s="634" t="s">
        <v>6268</v>
      </c>
    </row>
    <row r="172" spans="1:11">
      <c r="A172" s="614" t="s">
        <v>4409</v>
      </c>
      <c r="B172" s="614" t="s">
        <v>6177</v>
      </c>
      <c r="C172" s="619" t="s">
        <v>5253</v>
      </c>
      <c r="D172" s="620" t="s">
        <v>5373</v>
      </c>
      <c r="E172" s="620" t="s">
        <v>5906</v>
      </c>
      <c r="F172" s="621" t="s">
        <v>4410</v>
      </c>
      <c r="G172" s="620"/>
      <c r="H172" s="634" t="s">
        <v>1370</v>
      </c>
      <c r="I172" s="634" t="s">
        <v>5173</v>
      </c>
      <c r="J172" s="634" t="s">
        <v>5174</v>
      </c>
      <c r="K172" s="634" t="s">
        <v>6268</v>
      </c>
    </row>
    <row r="173" spans="1:11">
      <c r="A173" s="614" t="s">
        <v>4566</v>
      </c>
      <c r="B173" s="614" t="s">
        <v>6177</v>
      </c>
      <c r="C173" s="619" t="s">
        <v>5253</v>
      </c>
      <c r="D173" s="620" t="s">
        <v>5303</v>
      </c>
      <c r="E173" s="620" t="s">
        <v>5837</v>
      </c>
      <c r="F173" s="621" t="s">
        <v>4567</v>
      </c>
      <c r="G173" s="620"/>
      <c r="H173" s="634" t="s">
        <v>1370</v>
      </c>
      <c r="I173" s="634" t="s">
        <v>5173</v>
      </c>
      <c r="J173" s="634" t="s">
        <v>5174</v>
      </c>
      <c r="K173" s="634" t="s">
        <v>6268</v>
      </c>
    </row>
    <row r="174" spans="1:11">
      <c r="A174" s="614" t="s">
        <v>4413</v>
      </c>
      <c r="B174" s="614" t="s">
        <v>6177</v>
      </c>
      <c r="C174" s="619" t="s">
        <v>5253</v>
      </c>
      <c r="D174" s="620" t="s">
        <v>5372</v>
      </c>
      <c r="E174" s="620" t="s">
        <v>5905</v>
      </c>
      <c r="F174" s="621" t="s">
        <v>4414</v>
      </c>
      <c r="G174" s="620"/>
      <c r="H174" s="634" t="s">
        <v>1370</v>
      </c>
      <c r="I174" s="634" t="s">
        <v>5173</v>
      </c>
      <c r="J174" s="634" t="s">
        <v>5174</v>
      </c>
      <c r="K174" s="634" t="s">
        <v>6268</v>
      </c>
    </row>
    <row r="175" spans="1:11">
      <c r="A175" s="614" t="s">
        <v>4572</v>
      </c>
      <c r="B175" s="614" t="s">
        <v>6177</v>
      </c>
      <c r="C175" s="624" t="s">
        <v>5254</v>
      </c>
      <c r="D175" s="625" t="s">
        <v>5262</v>
      </c>
      <c r="E175" s="625" t="s">
        <v>5786</v>
      </c>
      <c r="F175" s="625" t="s">
        <v>4573</v>
      </c>
      <c r="G175" s="626"/>
      <c r="H175" s="634" t="s">
        <v>1370</v>
      </c>
      <c r="I175" s="634" t="s">
        <v>5173</v>
      </c>
      <c r="J175" s="634" t="s">
        <v>5174</v>
      </c>
      <c r="K175" s="634" t="s">
        <v>6268</v>
      </c>
    </row>
    <row r="176" spans="1:11">
      <c r="A176" s="614" t="s">
        <v>5117</v>
      </c>
      <c r="B176" s="614" t="s">
        <v>6177</v>
      </c>
      <c r="C176" s="629" t="s">
        <v>5255</v>
      </c>
      <c r="D176" s="635" t="s">
        <v>6269</v>
      </c>
      <c r="E176" s="630" t="s">
        <v>6270</v>
      </c>
      <c r="F176" s="630" t="s">
        <v>5118</v>
      </c>
      <c r="G176" s="635" t="s">
        <v>6269</v>
      </c>
      <c r="H176" s="636" t="s">
        <v>871</v>
      </c>
      <c r="I176" s="636" t="s">
        <v>1308</v>
      </c>
      <c r="J176" s="637" t="s">
        <v>5186</v>
      </c>
      <c r="K176" s="636" t="s">
        <v>6271</v>
      </c>
    </row>
    <row r="177" spans="1:11">
      <c r="A177" s="614" t="s">
        <v>4978</v>
      </c>
      <c r="B177" s="614" t="s">
        <v>6177</v>
      </c>
      <c r="C177" s="619" t="s">
        <v>5253</v>
      </c>
      <c r="D177" s="620" t="s">
        <v>5374</v>
      </c>
      <c r="E177" s="620" t="s">
        <v>5950</v>
      </c>
      <c r="F177" s="621" t="s">
        <v>4979</v>
      </c>
      <c r="G177" s="620"/>
      <c r="H177" s="636" t="s">
        <v>871</v>
      </c>
      <c r="I177" s="636" t="s">
        <v>1308</v>
      </c>
      <c r="J177" s="636" t="s">
        <v>5186</v>
      </c>
      <c r="K177" s="636" t="s">
        <v>6271</v>
      </c>
    </row>
    <row r="178" spans="1:11">
      <c r="A178" s="614" t="s">
        <v>4976</v>
      </c>
      <c r="B178" s="614" t="s">
        <v>6177</v>
      </c>
      <c r="C178" s="619" t="s">
        <v>5253</v>
      </c>
      <c r="D178" s="620" t="s">
        <v>5375</v>
      </c>
      <c r="E178" s="620" t="s">
        <v>5951</v>
      </c>
      <c r="F178" s="621" t="s">
        <v>4977</v>
      </c>
      <c r="G178" s="620"/>
      <c r="H178" s="636" t="s">
        <v>871</v>
      </c>
      <c r="I178" s="636" t="s">
        <v>1308</v>
      </c>
      <c r="J178" s="636" t="s">
        <v>5186</v>
      </c>
      <c r="K178" s="636" t="s">
        <v>6271</v>
      </c>
    </row>
    <row r="179" spans="1:11">
      <c r="A179" s="614" t="s">
        <v>4423</v>
      </c>
      <c r="B179" s="614" t="s">
        <v>6177</v>
      </c>
      <c r="C179" s="619" t="s">
        <v>5253</v>
      </c>
      <c r="D179" s="620" t="s">
        <v>5377</v>
      </c>
      <c r="E179" s="620" t="s">
        <v>5953</v>
      </c>
      <c r="F179" s="621" t="s">
        <v>4424</v>
      </c>
      <c r="G179" s="620"/>
      <c r="H179" s="636" t="s">
        <v>871</v>
      </c>
      <c r="I179" s="636" t="s">
        <v>1308</v>
      </c>
      <c r="J179" s="636" t="s">
        <v>5186</v>
      </c>
      <c r="K179" s="636" t="s">
        <v>6271</v>
      </c>
    </row>
    <row r="180" spans="1:11">
      <c r="A180" s="614" t="s">
        <v>4972</v>
      </c>
      <c r="B180" s="614" t="s">
        <v>6177</v>
      </c>
      <c r="C180" s="619" t="s">
        <v>5253</v>
      </c>
      <c r="D180" s="620" t="s">
        <v>5378</v>
      </c>
      <c r="E180" s="620" t="s">
        <v>5954</v>
      </c>
      <c r="F180" s="621" t="s">
        <v>4973</v>
      </c>
      <c r="G180" s="620"/>
      <c r="H180" s="636" t="s">
        <v>871</v>
      </c>
      <c r="I180" s="636" t="s">
        <v>1308</v>
      </c>
      <c r="J180" s="636" t="s">
        <v>5186</v>
      </c>
      <c r="K180" s="636" t="s">
        <v>6271</v>
      </c>
    </row>
    <row r="181" spans="1:11">
      <c r="A181" s="614" t="s">
        <v>4974</v>
      </c>
      <c r="B181" s="614" t="s">
        <v>6177</v>
      </c>
      <c r="C181" s="619" t="s">
        <v>5253</v>
      </c>
      <c r="D181" s="620" t="s">
        <v>5379</v>
      </c>
      <c r="E181" s="620" t="s">
        <v>5955</v>
      </c>
      <c r="F181" s="621" t="s">
        <v>4975</v>
      </c>
      <c r="G181" s="620"/>
      <c r="H181" s="636" t="s">
        <v>871</v>
      </c>
      <c r="I181" s="636" t="s">
        <v>1308</v>
      </c>
      <c r="J181" s="636" t="s">
        <v>5186</v>
      </c>
      <c r="K181" s="636" t="s">
        <v>6271</v>
      </c>
    </row>
    <row r="182" spans="1:11">
      <c r="A182" s="614" t="s">
        <v>4427</v>
      </c>
      <c r="B182" s="614" t="s">
        <v>6177</v>
      </c>
      <c r="C182" s="619" t="s">
        <v>5253</v>
      </c>
      <c r="D182" s="620" t="s">
        <v>5380</v>
      </c>
      <c r="E182" s="620" t="s">
        <v>5956</v>
      </c>
      <c r="F182" s="621" t="s">
        <v>4428</v>
      </c>
      <c r="G182" s="620"/>
      <c r="H182" s="636" t="s">
        <v>871</v>
      </c>
      <c r="I182" s="636" t="s">
        <v>1308</v>
      </c>
      <c r="J182" s="636" t="s">
        <v>5186</v>
      </c>
      <c r="K182" s="636" t="s">
        <v>6271</v>
      </c>
    </row>
    <row r="183" spans="1:11">
      <c r="A183" s="614" t="s">
        <v>4970</v>
      </c>
      <c r="B183" s="614" t="s">
        <v>6177</v>
      </c>
      <c r="C183" s="619" t="s">
        <v>5253</v>
      </c>
      <c r="D183" s="620" t="s">
        <v>5381</v>
      </c>
      <c r="E183" s="620" t="s">
        <v>5957</v>
      </c>
      <c r="F183" s="621" t="s">
        <v>4971</v>
      </c>
      <c r="G183" s="620"/>
      <c r="H183" s="636" t="s">
        <v>871</v>
      </c>
      <c r="I183" s="636" t="s">
        <v>1308</v>
      </c>
      <c r="J183" s="636" t="s">
        <v>5186</v>
      </c>
      <c r="K183" s="636" t="s">
        <v>6271</v>
      </c>
    </row>
    <row r="184" spans="1:11">
      <c r="A184" s="614" t="s">
        <v>4968</v>
      </c>
      <c r="B184" s="614" t="s">
        <v>6177</v>
      </c>
      <c r="C184" s="619" t="s">
        <v>5253</v>
      </c>
      <c r="D184" s="620" t="s">
        <v>5382</v>
      </c>
      <c r="E184" s="620" t="s">
        <v>5958</v>
      </c>
      <c r="F184" s="621" t="s">
        <v>4969</v>
      </c>
      <c r="G184" s="620"/>
      <c r="H184" s="636" t="s">
        <v>871</v>
      </c>
      <c r="I184" s="636" t="s">
        <v>1308</v>
      </c>
      <c r="J184" s="636" t="s">
        <v>5186</v>
      </c>
      <c r="K184" s="636" t="s">
        <v>6271</v>
      </c>
    </row>
    <row r="185" spans="1:11">
      <c r="A185" s="614" t="s">
        <v>4425</v>
      </c>
      <c r="B185" s="614" t="s">
        <v>6177</v>
      </c>
      <c r="C185" s="619" t="s">
        <v>5253</v>
      </c>
      <c r="D185" s="620" t="s">
        <v>5376</v>
      </c>
      <c r="E185" s="620" t="s">
        <v>5952</v>
      </c>
      <c r="F185" s="621" t="s">
        <v>4426</v>
      </c>
      <c r="G185" s="620"/>
      <c r="H185" s="636" t="s">
        <v>871</v>
      </c>
      <c r="I185" s="636" t="s">
        <v>1308</v>
      </c>
      <c r="J185" s="636" t="s">
        <v>5186</v>
      </c>
      <c r="K185" s="636" t="s">
        <v>6271</v>
      </c>
    </row>
    <row r="186" spans="1:11">
      <c r="A186" s="614" t="s">
        <v>4457</v>
      </c>
      <c r="B186" s="614" t="s">
        <v>6177</v>
      </c>
      <c r="C186" s="627" t="s">
        <v>5194</v>
      </c>
      <c r="D186" s="628" t="s">
        <v>6272</v>
      </c>
      <c r="E186" s="633" t="s">
        <v>5649</v>
      </c>
      <c r="F186" s="628" t="s">
        <v>4458</v>
      </c>
      <c r="G186" s="633"/>
      <c r="H186" s="636" t="s">
        <v>871</v>
      </c>
      <c r="I186" s="636" t="s">
        <v>1470</v>
      </c>
      <c r="J186" s="636" t="s">
        <v>5176</v>
      </c>
      <c r="K186" s="636" t="s">
        <v>6273</v>
      </c>
    </row>
    <row r="187" spans="1:11">
      <c r="A187" s="614" t="s">
        <v>4455</v>
      </c>
      <c r="B187" s="614" t="s">
        <v>6177</v>
      </c>
      <c r="C187" s="627" t="s">
        <v>5194</v>
      </c>
      <c r="D187" s="628" t="s">
        <v>6274</v>
      </c>
      <c r="E187" s="633" t="s">
        <v>5645</v>
      </c>
      <c r="F187" s="628" t="s">
        <v>4456</v>
      </c>
      <c r="G187" s="633"/>
      <c r="H187" s="636" t="s">
        <v>871</v>
      </c>
      <c r="I187" s="636" t="s">
        <v>1470</v>
      </c>
      <c r="J187" s="636" t="s">
        <v>5176</v>
      </c>
      <c r="K187" s="636" t="s">
        <v>6273</v>
      </c>
    </row>
    <row r="188" spans="1:11">
      <c r="A188" s="614" t="s">
        <v>5001</v>
      </c>
      <c r="B188" s="614" t="s">
        <v>6177</v>
      </c>
      <c r="C188" s="615" t="s">
        <v>5193</v>
      </c>
      <c r="D188" s="616" t="s">
        <v>5549</v>
      </c>
      <c r="E188" s="616" t="s">
        <v>5716</v>
      </c>
      <c r="F188" s="617" t="s">
        <v>5002</v>
      </c>
      <c r="G188" s="616"/>
      <c r="H188" s="636" t="s">
        <v>871</v>
      </c>
      <c r="I188" s="636" t="s">
        <v>1470</v>
      </c>
      <c r="J188" s="636" t="s">
        <v>5176</v>
      </c>
      <c r="K188" s="636" t="s">
        <v>6273</v>
      </c>
    </row>
    <row r="189" spans="1:11">
      <c r="A189" s="614" t="s">
        <v>4463</v>
      </c>
      <c r="B189" s="614" t="s">
        <v>6177</v>
      </c>
      <c r="C189" s="619" t="s">
        <v>5253</v>
      </c>
      <c r="D189" s="620" t="s">
        <v>5387</v>
      </c>
      <c r="E189" s="620" t="s">
        <v>5918</v>
      </c>
      <c r="F189" s="621" t="s">
        <v>4464</v>
      </c>
      <c r="G189" s="620"/>
      <c r="H189" s="636" t="s">
        <v>871</v>
      </c>
      <c r="I189" s="636" t="s">
        <v>1470</v>
      </c>
      <c r="J189" s="636" t="s">
        <v>5176</v>
      </c>
      <c r="K189" s="636" t="s">
        <v>6273</v>
      </c>
    </row>
    <row r="190" spans="1:11">
      <c r="A190" s="614" t="s">
        <v>4604</v>
      </c>
      <c r="B190" s="614" t="s">
        <v>6177</v>
      </c>
      <c r="C190" s="619" t="s">
        <v>5253</v>
      </c>
      <c r="D190" s="620" t="s">
        <v>5386</v>
      </c>
      <c r="E190" s="620" t="s">
        <v>5913</v>
      </c>
      <c r="F190" s="621" t="s">
        <v>4605</v>
      </c>
      <c r="G190" s="620"/>
      <c r="H190" s="636" t="s">
        <v>871</v>
      </c>
      <c r="I190" s="636" t="s">
        <v>1470</v>
      </c>
      <c r="J190" s="636" t="s">
        <v>5176</v>
      </c>
      <c r="K190" s="636" t="s">
        <v>6273</v>
      </c>
    </row>
    <row r="191" spans="1:11">
      <c r="A191" s="614" t="s">
        <v>4465</v>
      </c>
      <c r="B191" s="614" t="s">
        <v>6177</v>
      </c>
      <c r="C191" s="619" t="s">
        <v>5253</v>
      </c>
      <c r="D191" s="620" t="s">
        <v>5385</v>
      </c>
      <c r="E191" s="620" t="s">
        <v>5911</v>
      </c>
      <c r="F191" s="621" t="s">
        <v>4466</v>
      </c>
      <c r="G191" s="620"/>
      <c r="H191" s="636" t="s">
        <v>871</v>
      </c>
      <c r="I191" s="636" t="s">
        <v>1470</v>
      </c>
      <c r="J191" s="636" t="s">
        <v>5176</v>
      </c>
      <c r="K191" s="636" t="s">
        <v>6273</v>
      </c>
    </row>
    <row r="192" spans="1:11">
      <c r="A192" s="614" t="s">
        <v>4610</v>
      </c>
      <c r="B192" s="614" t="s">
        <v>6177</v>
      </c>
      <c r="C192" s="619" t="s">
        <v>5253</v>
      </c>
      <c r="D192" s="620" t="s">
        <v>6275</v>
      </c>
      <c r="E192" s="620" t="s">
        <v>5907</v>
      </c>
      <c r="F192" s="621" t="s">
        <v>4611</v>
      </c>
      <c r="G192" s="620"/>
      <c r="H192" s="636" t="s">
        <v>871</v>
      </c>
      <c r="I192" s="636" t="s">
        <v>1470</v>
      </c>
      <c r="J192" s="636" t="s">
        <v>5176</v>
      </c>
      <c r="K192" s="636" t="s">
        <v>6273</v>
      </c>
    </row>
    <row r="193" spans="1:11">
      <c r="A193" s="614" t="s">
        <v>4598</v>
      </c>
      <c r="B193" s="614" t="s">
        <v>6177</v>
      </c>
      <c r="C193" s="627" t="s">
        <v>5194</v>
      </c>
      <c r="D193" s="628" t="s">
        <v>6276</v>
      </c>
      <c r="E193" s="633" t="s">
        <v>5652</v>
      </c>
      <c r="F193" s="628" t="s">
        <v>4599</v>
      </c>
      <c r="G193" s="633"/>
      <c r="H193" s="636" t="s">
        <v>6277</v>
      </c>
      <c r="I193" s="636" t="s">
        <v>1306</v>
      </c>
      <c r="J193" s="636" t="s">
        <v>5175</v>
      </c>
      <c r="K193" s="636" t="s">
        <v>6278</v>
      </c>
    </row>
    <row r="194" spans="1:11">
      <c r="A194" s="614" t="s">
        <v>5099</v>
      </c>
      <c r="B194" s="614" t="s">
        <v>6177</v>
      </c>
      <c r="C194" s="629" t="s">
        <v>5255</v>
      </c>
      <c r="D194" s="630" t="s">
        <v>6279</v>
      </c>
      <c r="E194" s="630" t="s">
        <v>5665</v>
      </c>
      <c r="F194" s="630" t="s">
        <v>4912</v>
      </c>
      <c r="G194" s="630" t="s">
        <v>6279</v>
      </c>
      <c r="H194" s="636" t="s">
        <v>6277</v>
      </c>
      <c r="I194" s="636" t="s">
        <v>1306</v>
      </c>
      <c r="J194" s="636" t="s">
        <v>5175</v>
      </c>
      <c r="K194" s="636" t="s">
        <v>6278</v>
      </c>
    </row>
    <row r="195" spans="1:11">
      <c r="A195" s="614" t="s">
        <v>4449</v>
      </c>
      <c r="B195" s="614" t="s">
        <v>6177</v>
      </c>
      <c r="C195" s="615" t="s">
        <v>5193</v>
      </c>
      <c r="D195" s="616" t="s">
        <v>5550</v>
      </c>
      <c r="E195" s="616" t="s">
        <v>5713</v>
      </c>
      <c r="F195" s="617" t="s">
        <v>4450</v>
      </c>
      <c r="G195" s="616"/>
      <c r="H195" s="636" t="s">
        <v>871</v>
      </c>
      <c r="I195" s="636" t="s">
        <v>1306</v>
      </c>
      <c r="J195" s="636" t="s">
        <v>5175</v>
      </c>
      <c r="K195" s="636" t="s">
        <v>6278</v>
      </c>
    </row>
    <row r="196" spans="1:11">
      <c r="A196" s="614" t="s">
        <v>4451</v>
      </c>
      <c r="B196" s="614" t="s">
        <v>6177</v>
      </c>
      <c r="C196" s="615" t="s">
        <v>5193</v>
      </c>
      <c r="D196" s="616" t="s">
        <v>5551</v>
      </c>
      <c r="E196" s="616" t="s">
        <v>5715</v>
      </c>
      <c r="F196" s="617" t="s">
        <v>4452</v>
      </c>
      <c r="G196" s="616"/>
      <c r="H196" s="636" t="s">
        <v>871</v>
      </c>
      <c r="I196" s="636" t="s">
        <v>1306</v>
      </c>
      <c r="J196" s="636" t="s">
        <v>5175</v>
      </c>
      <c r="K196" s="636" t="s">
        <v>6278</v>
      </c>
    </row>
    <row r="197" spans="1:11">
      <c r="A197" s="614" t="s">
        <v>4685</v>
      </c>
      <c r="B197" s="614" t="s">
        <v>6177</v>
      </c>
      <c r="C197" s="619" t="s">
        <v>5253</v>
      </c>
      <c r="D197" s="620" t="s">
        <v>5390</v>
      </c>
      <c r="E197" s="620" t="s">
        <v>5915</v>
      </c>
      <c r="F197" s="621" t="s">
        <v>4686</v>
      </c>
      <c r="G197" s="620"/>
      <c r="H197" s="636" t="s">
        <v>871</v>
      </c>
      <c r="I197" s="636" t="s">
        <v>1306</v>
      </c>
      <c r="J197" s="636" t="s">
        <v>5175</v>
      </c>
      <c r="K197" s="636" t="s">
        <v>6278</v>
      </c>
    </row>
    <row r="198" spans="1:11">
      <c r="A198" s="614" t="s">
        <v>4467</v>
      </c>
      <c r="B198" s="614" t="s">
        <v>6177</v>
      </c>
      <c r="C198" s="619" t="s">
        <v>5253</v>
      </c>
      <c r="D198" s="620" t="s">
        <v>5389</v>
      </c>
      <c r="E198" s="620" t="s">
        <v>5912</v>
      </c>
      <c r="F198" s="621" t="s">
        <v>4468</v>
      </c>
      <c r="G198" s="620"/>
      <c r="H198" s="636" t="s">
        <v>871</v>
      </c>
      <c r="I198" s="636" t="s">
        <v>1306</v>
      </c>
      <c r="J198" s="636" t="s">
        <v>5175</v>
      </c>
      <c r="K198" s="636" t="s">
        <v>6278</v>
      </c>
    </row>
    <row r="199" spans="1:11">
      <c r="A199" s="614" t="s">
        <v>4606</v>
      </c>
      <c r="B199" s="614" t="s">
        <v>6177</v>
      </c>
      <c r="C199" s="619" t="s">
        <v>5253</v>
      </c>
      <c r="D199" s="620" t="s">
        <v>5388</v>
      </c>
      <c r="E199" s="620" t="s">
        <v>5909</v>
      </c>
      <c r="F199" s="621" t="s">
        <v>4607</v>
      </c>
      <c r="G199" s="620" t="s">
        <v>6280</v>
      </c>
      <c r="H199" s="636" t="s">
        <v>871</v>
      </c>
      <c r="I199" s="636" t="s">
        <v>1306</v>
      </c>
      <c r="J199" s="636" t="s">
        <v>5175</v>
      </c>
      <c r="K199" s="636" t="s">
        <v>6278</v>
      </c>
    </row>
    <row r="200" spans="1:11">
      <c r="A200" s="614" t="s">
        <v>4608</v>
      </c>
      <c r="B200" s="614" t="s">
        <v>6177</v>
      </c>
      <c r="C200" s="619" t="s">
        <v>5253</v>
      </c>
      <c r="D200" s="620" t="s">
        <v>5391</v>
      </c>
      <c r="E200" s="620" t="s">
        <v>5917</v>
      </c>
      <c r="F200" s="621" t="s">
        <v>4609</v>
      </c>
      <c r="G200" s="620" t="s">
        <v>6281</v>
      </c>
      <c r="H200" s="636" t="s">
        <v>871</v>
      </c>
      <c r="I200" s="636" t="s">
        <v>1306</v>
      </c>
      <c r="J200" s="636" t="s">
        <v>5175</v>
      </c>
      <c r="K200" s="636" t="s">
        <v>6282</v>
      </c>
    </row>
    <row r="201" spans="1:11">
      <c r="A201" s="614" t="s">
        <v>6283</v>
      </c>
      <c r="B201" s="614" t="s">
        <v>6177</v>
      </c>
      <c r="C201" s="624" t="s">
        <v>5254</v>
      </c>
      <c r="D201" s="625" t="s">
        <v>5263</v>
      </c>
      <c r="E201" s="625" t="s">
        <v>5787</v>
      </c>
      <c r="F201" s="625" t="s">
        <v>4630</v>
      </c>
      <c r="G201" s="626"/>
      <c r="H201" s="636" t="s">
        <v>871</v>
      </c>
      <c r="I201" s="636" t="s">
        <v>1306</v>
      </c>
      <c r="J201" s="636" t="s">
        <v>5175</v>
      </c>
      <c r="K201" s="636" t="s">
        <v>6278</v>
      </c>
    </row>
    <row r="202" spans="1:11">
      <c r="A202" s="614" t="s">
        <v>4622</v>
      </c>
      <c r="B202" s="614" t="s">
        <v>6177</v>
      </c>
      <c r="C202" s="619" t="s">
        <v>5253</v>
      </c>
      <c r="D202" s="620" t="s">
        <v>5396</v>
      </c>
      <c r="E202" s="620" t="s">
        <v>5923</v>
      </c>
      <c r="F202" s="621" t="s">
        <v>4623</v>
      </c>
      <c r="G202" s="620"/>
      <c r="H202" s="636" t="s">
        <v>871</v>
      </c>
      <c r="I202" s="636" t="s">
        <v>1296</v>
      </c>
      <c r="J202" s="636" t="s">
        <v>5181</v>
      </c>
      <c r="K202" s="636" t="s">
        <v>6284</v>
      </c>
    </row>
    <row r="203" spans="1:11">
      <c r="A203" s="614" t="s">
        <v>4481</v>
      </c>
      <c r="B203" s="614" t="s">
        <v>6177</v>
      </c>
      <c r="C203" s="619" t="s">
        <v>5253</v>
      </c>
      <c r="D203" s="620" t="s">
        <v>5397</v>
      </c>
      <c r="E203" s="620" t="s">
        <v>5924</v>
      </c>
      <c r="F203" s="621" t="s">
        <v>4482</v>
      </c>
      <c r="G203" s="620"/>
      <c r="H203" s="636" t="s">
        <v>871</v>
      </c>
      <c r="I203" s="636" t="s">
        <v>1296</v>
      </c>
      <c r="J203" s="636" t="s">
        <v>5181</v>
      </c>
      <c r="K203" s="636" t="s">
        <v>5122</v>
      </c>
    </row>
    <row r="204" spans="1:11">
      <c r="A204" s="614" t="s">
        <v>4626</v>
      </c>
      <c r="B204" s="614" t="s">
        <v>6177</v>
      </c>
      <c r="C204" s="619" t="s">
        <v>5253</v>
      </c>
      <c r="D204" s="620" t="s">
        <v>5398</v>
      </c>
      <c r="E204" s="620" t="s">
        <v>5925</v>
      </c>
      <c r="F204" s="621" t="s">
        <v>4627</v>
      </c>
      <c r="G204" s="620"/>
      <c r="H204" s="636" t="s">
        <v>871</v>
      </c>
      <c r="I204" s="636" t="s">
        <v>1296</v>
      </c>
      <c r="J204" s="636" t="s">
        <v>5181</v>
      </c>
      <c r="K204" s="636" t="s">
        <v>5122</v>
      </c>
    </row>
    <row r="205" spans="1:11">
      <c r="A205" s="614" t="s">
        <v>4628</v>
      </c>
      <c r="B205" s="614" t="s">
        <v>6177</v>
      </c>
      <c r="C205" s="619" t="s">
        <v>5253</v>
      </c>
      <c r="D205" s="620" t="s">
        <v>5399</v>
      </c>
      <c r="E205" s="620" t="s">
        <v>5929</v>
      </c>
      <c r="F205" s="621" t="s">
        <v>4629</v>
      </c>
      <c r="G205" s="620"/>
      <c r="H205" s="636" t="s">
        <v>871</v>
      </c>
      <c r="I205" s="636" t="s">
        <v>1296</v>
      </c>
      <c r="J205" s="636" t="s">
        <v>5181</v>
      </c>
      <c r="K205" s="636" t="s">
        <v>5122</v>
      </c>
    </row>
    <row r="206" spans="1:11">
      <c r="A206" s="614" t="s">
        <v>4485</v>
      </c>
      <c r="B206" s="614" t="s">
        <v>6177</v>
      </c>
      <c r="C206" s="619" t="s">
        <v>5253</v>
      </c>
      <c r="D206" s="620" t="s">
        <v>5395</v>
      </c>
      <c r="E206" s="620" t="s">
        <v>5920</v>
      </c>
      <c r="F206" s="621" t="s">
        <v>4486</v>
      </c>
      <c r="G206" s="620"/>
      <c r="H206" s="636" t="s">
        <v>871</v>
      </c>
      <c r="I206" s="636" t="s">
        <v>1296</v>
      </c>
      <c r="J206" s="636" t="s">
        <v>5181</v>
      </c>
      <c r="K206" s="636" t="s">
        <v>6284</v>
      </c>
    </row>
    <row r="207" spans="1:11">
      <c r="A207" s="614" t="s">
        <v>4624</v>
      </c>
      <c r="B207" s="614" t="s">
        <v>6177</v>
      </c>
      <c r="C207" s="619" t="s">
        <v>5253</v>
      </c>
      <c r="D207" s="620" t="s">
        <v>5400</v>
      </c>
      <c r="E207" s="620" t="s">
        <v>5933</v>
      </c>
      <c r="F207" s="621" t="s">
        <v>4625</v>
      </c>
      <c r="G207" s="620"/>
      <c r="H207" s="636" t="s">
        <v>871</v>
      </c>
      <c r="I207" s="636" t="s">
        <v>1296</v>
      </c>
      <c r="J207" s="636" t="s">
        <v>5181</v>
      </c>
      <c r="K207" s="636" t="s">
        <v>5122</v>
      </c>
    </row>
    <row r="208" spans="1:11">
      <c r="A208" s="614" t="s">
        <v>4616</v>
      </c>
      <c r="B208" s="614" t="s">
        <v>6177</v>
      </c>
      <c r="C208" s="619" t="s">
        <v>5253</v>
      </c>
      <c r="D208" s="620" t="s">
        <v>5402</v>
      </c>
      <c r="E208" s="620" t="s">
        <v>5927</v>
      </c>
      <c r="F208" s="621" t="s">
        <v>4617</v>
      </c>
      <c r="G208" s="620"/>
      <c r="H208" s="636" t="s">
        <v>871</v>
      </c>
      <c r="I208" s="636" t="s">
        <v>1298</v>
      </c>
      <c r="J208" s="636" t="s">
        <v>5180</v>
      </c>
      <c r="K208" s="636" t="s">
        <v>6285</v>
      </c>
    </row>
    <row r="209" spans="1:11">
      <c r="A209" s="614" t="s">
        <v>4483</v>
      </c>
      <c r="B209" s="614" t="s">
        <v>6177</v>
      </c>
      <c r="C209" s="619" t="s">
        <v>5253</v>
      </c>
      <c r="D209" s="620" t="s">
        <v>5401</v>
      </c>
      <c r="E209" s="620" t="s">
        <v>5919</v>
      </c>
      <c r="F209" s="621" t="s">
        <v>4484</v>
      </c>
      <c r="G209" s="620"/>
      <c r="H209" s="636" t="s">
        <v>871</v>
      </c>
      <c r="I209" s="636" t="s">
        <v>1298</v>
      </c>
      <c r="J209" s="636" t="s">
        <v>5180</v>
      </c>
      <c r="K209" s="636" t="s">
        <v>6285</v>
      </c>
    </row>
    <row r="210" spans="1:11">
      <c r="A210" s="614" t="s">
        <v>4614</v>
      </c>
      <c r="B210" s="614" t="s">
        <v>6177</v>
      </c>
      <c r="C210" s="619" t="s">
        <v>5253</v>
      </c>
      <c r="D210" s="620" t="s">
        <v>5403</v>
      </c>
      <c r="E210" s="620" t="s">
        <v>5935</v>
      </c>
      <c r="F210" s="621" t="s">
        <v>4615</v>
      </c>
      <c r="G210" s="620"/>
      <c r="H210" s="636" t="s">
        <v>871</v>
      </c>
      <c r="I210" s="636" t="s">
        <v>1298</v>
      </c>
      <c r="J210" s="636" t="s">
        <v>5180</v>
      </c>
      <c r="K210" s="636" t="s">
        <v>6285</v>
      </c>
    </row>
    <row r="211" spans="1:11">
      <c r="A211" s="614" t="s">
        <v>4631</v>
      </c>
      <c r="B211" s="614" t="s">
        <v>6174</v>
      </c>
      <c r="C211" s="624" t="s">
        <v>5254</v>
      </c>
      <c r="D211" s="625" t="s">
        <v>5264</v>
      </c>
      <c r="E211" s="625" t="s">
        <v>5788</v>
      </c>
      <c r="F211" s="625" t="s">
        <v>4632</v>
      </c>
      <c r="G211" s="626"/>
      <c r="H211" s="636" t="s">
        <v>871</v>
      </c>
      <c r="I211" s="636" t="s">
        <v>1298</v>
      </c>
      <c r="J211" s="636" t="s">
        <v>5180</v>
      </c>
      <c r="K211" s="636" t="s">
        <v>6285</v>
      </c>
    </row>
    <row r="212" spans="1:11">
      <c r="A212" s="614" t="s">
        <v>5100</v>
      </c>
      <c r="B212" s="614" t="s">
        <v>6177</v>
      </c>
      <c r="C212" s="629" t="s">
        <v>5255</v>
      </c>
      <c r="D212" s="630" t="s">
        <v>6286</v>
      </c>
      <c r="E212" s="630" t="s">
        <v>5666</v>
      </c>
      <c r="F212" s="630" t="s">
        <v>5101</v>
      </c>
      <c r="G212" s="630" t="s">
        <v>6286</v>
      </c>
      <c r="H212" s="636" t="s">
        <v>871</v>
      </c>
      <c r="I212" s="636" t="s">
        <v>1317</v>
      </c>
      <c r="J212" s="636" t="s">
        <v>5179</v>
      </c>
      <c r="K212" s="636" t="s">
        <v>6287</v>
      </c>
    </row>
    <row r="213" spans="1:11">
      <c r="A213" s="614" t="s">
        <v>5005</v>
      </c>
      <c r="B213" s="614" t="s">
        <v>6177</v>
      </c>
      <c r="C213" s="615" t="s">
        <v>5193</v>
      </c>
      <c r="D213" s="616" t="s">
        <v>5553</v>
      </c>
      <c r="E213" s="616" t="s">
        <v>5720</v>
      </c>
      <c r="F213" s="617" t="s">
        <v>5006</v>
      </c>
      <c r="G213" s="616"/>
      <c r="H213" s="636" t="s">
        <v>871</v>
      </c>
      <c r="I213" s="636" t="s">
        <v>1317</v>
      </c>
      <c r="J213" s="636" t="s">
        <v>5179</v>
      </c>
      <c r="K213" s="636" t="s">
        <v>6287</v>
      </c>
    </row>
    <row r="214" spans="1:11">
      <c r="A214" s="614" t="s">
        <v>4662</v>
      </c>
      <c r="B214" s="614" t="s">
        <v>6177</v>
      </c>
      <c r="C214" s="619" t="s">
        <v>5253</v>
      </c>
      <c r="D214" s="620" t="s">
        <v>5407</v>
      </c>
      <c r="E214" s="620" t="s">
        <v>5937</v>
      </c>
      <c r="F214" s="621" t="s">
        <v>6288</v>
      </c>
      <c r="G214" s="620"/>
      <c r="H214" s="636" t="s">
        <v>871</v>
      </c>
      <c r="I214" s="636" t="s">
        <v>1317</v>
      </c>
      <c r="J214" s="636" t="s">
        <v>5179</v>
      </c>
      <c r="K214" s="636" t="s">
        <v>1318</v>
      </c>
    </row>
    <row r="215" spans="1:11">
      <c r="A215" s="614" t="s">
        <v>4618</v>
      </c>
      <c r="B215" s="614" t="s">
        <v>6177</v>
      </c>
      <c r="C215" s="619" t="s">
        <v>5253</v>
      </c>
      <c r="D215" s="620" t="s">
        <v>5406</v>
      </c>
      <c r="E215" s="620" t="s">
        <v>5934</v>
      </c>
      <c r="F215" s="621" t="s">
        <v>4619</v>
      </c>
      <c r="G215" s="620"/>
      <c r="H215" s="636" t="s">
        <v>871</v>
      </c>
      <c r="I215" s="636" t="s">
        <v>1317</v>
      </c>
      <c r="J215" s="636" t="s">
        <v>5179</v>
      </c>
      <c r="K215" s="636" t="s">
        <v>1318</v>
      </c>
    </row>
    <row r="216" spans="1:11">
      <c r="A216" s="614" t="s">
        <v>4475</v>
      </c>
      <c r="B216" s="614" t="s">
        <v>6177</v>
      </c>
      <c r="C216" s="619" t="s">
        <v>5253</v>
      </c>
      <c r="D216" s="620" t="s">
        <v>5405</v>
      </c>
      <c r="E216" s="620" t="s">
        <v>5932</v>
      </c>
      <c r="F216" s="621" t="s">
        <v>4476</v>
      </c>
      <c r="G216" s="620"/>
      <c r="H216" s="636" t="s">
        <v>871</v>
      </c>
      <c r="I216" s="636" t="s">
        <v>1317</v>
      </c>
      <c r="J216" s="636" t="s">
        <v>5179</v>
      </c>
      <c r="K216" s="636" t="s">
        <v>1318</v>
      </c>
    </row>
    <row r="217" spans="1:11">
      <c r="A217" s="614" t="s">
        <v>4473</v>
      </c>
      <c r="B217" s="614" t="s">
        <v>6177</v>
      </c>
      <c r="C217" s="619" t="s">
        <v>5253</v>
      </c>
      <c r="D217" s="620" t="s">
        <v>5404</v>
      </c>
      <c r="E217" s="620" t="s">
        <v>5922</v>
      </c>
      <c r="F217" s="621" t="s">
        <v>4474</v>
      </c>
      <c r="G217" s="620"/>
      <c r="H217" s="636" t="s">
        <v>871</v>
      </c>
      <c r="I217" s="636" t="s">
        <v>1317</v>
      </c>
      <c r="J217" s="636" t="s">
        <v>5179</v>
      </c>
      <c r="K217" s="636" t="s">
        <v>1318</v>
      </c>
    </row>
    <row r="218" spans="1:11">
      <c r="A218" s="614" t="s">
        <v>4620</v>
      </c>
      <c r="B218" s="614" t="s">
        <v>6177</v>
      </c>
      <c r="C218" s="619" t="s">
        <v>5253</v>
      </c>
      <c r="D218" s="620" t="s">
        <v>5408</v>
      </c>
      <c r="E218" s="620" t="s">
        <v>5926</v>
      </c>
      <c r="F218" s="621" t="s">
        <v>4621</v>
      </c>
      <c r="G218" s="620"/>
      <c r="H218" s="636" t="s">
        <v>871</v>
      </c>
      <c r="I218" s="636" t="s">
        <v>1312</v>
      </c>
      <c r="J218" s="636" t="s">
        <v>5178</v>
      </c>
      <c r="K218" s="636" t="s">
        <v>6289</v>
      </c>
    </row>
    <row r="219" spans="1:11">
      <c r="A219" s="614" t="s">
        <v>4687</v>
      </c>
      <c r="B219" s="614" t="s">
        <v>6177</v>
      </c>
      <c r="C219" s="619" t="s">
        <v>5253</v>
      </c>
      <c r="D219" s="620" t="s">
        <v>5409</v>
      </c>
      <c r="E219" s="620" t="s">
        <v>5928</v>
      </c>
      <c r="F219" s="621" t="s">
        <v>4688</v>
      </c>
      <c r="G219" s="620"/>
      <c r="H219" s="636" t="s">
        <v>871</v>
      </c>
      <c r="I219" s="636" t="s">
        <v>1312</v>
      </c>
      <c r="J219" s="636" t="s">
        <v>5178</v>
      </c>
      <c r="K219" s="636" t="s">
        <v>6289</v>
      </c>
    </row>
    <row r="220" spans="1:11">
      <c r="A220" s="614" t="s">
        <v>4479</v>
      </c>
      <c r="B220" s="614" t="s">
        <v>6177</v>
      </c>
      <c r="C220" s="619" t="s">
        <v>5253</v>
      </c>
      <c r="D220" s="620" t="s">
        <v>5411</v>
      </c>
      <c r="E220" s="620" t="s">
        <v>5938</v>
      </c>
      <c r="F220" s="621" t="s">
        <v>4480</v>
      </c>
      <c r="G220" s="620"/>
      <c r="H220" s="636" t="s">
        <v>871</v>
      </c>
      <c r="I220" s="636" t="s">
        <v>1312</v>
      </c>
      <c r="J220" s="636" t="s">
        <v>5178</v>
      </c>
      <c r="K220" s="636" t="s">
        <v>6289</v>
      </c>
    </row>
    <row r="221" spans="1:11">
      <c r="A221" s="614" t="s">
        <v>4477</v>
      </c>
      <c r="B221" s="614" t="s">
        <v>6177</v>
      </c>
      <c r="C221" s="619" t="s">
        <v>5253</v>
      </c>
      <c r="D221" s="620" t="s">
        <v>5410</v>
      </c>
      <c r="E221" s="620" t="s">
        <v>5936</v>
      </c>
      <c r="F221" s="621" t="s">
        <v>4478</v>
      </c>
      <c r="G221" s="620"/>
      <c r="H221" s="636" t="s">
        <v>871</v>
      </c>
      <c r="I221" s="636" t="s">
        <v>1312</v>
      </c>
      <c r="J221" s="636" t="s">
        <v>5178</v>
      </c>
      <c r="K221" s="636" t="s">
        <v>6289</v>
      </c>
    </row>
    <row r="222" spans="1:11">
      <c r="A222" s="614" t="s">
        <v>5003</v>
      </c>
      <c r="B222" s="614" t="s">
        <v>6177</v>
      </c>
      <c r="C222" s="615" t="s">
        <v>5193</v>
      </c>
      <c r="D222" s="638" t="s">
        <v>6290</v>
      </c>
      <c r="E222" s="616" t="s">
        <v>5721</v>
      </c>
      <c r="F222" s="639" t="s">
        <v>5004</v>
      </c>
      <c r="G222" s="638"/>
      <c r="H222" s="636" t="s">
        <v>871</v>
      </c>
      <c r="I222" s="636" t="s">
        <v>1310</v>
      </c>
      <c r="J222" s="636" t="s">
        <v>5184</v>
      </c>
      <c r="K222" s="636" t="s">
        <v>1311</v>
      </c>
    </row>
    <row r="223" spans="1:11">
      <c r="A223" s="614" t="s">
        <v>4580</v>
      </c>
      <c r="B223" s="614" t="s">
        <v>6177</v>
      </c>
      <c r="C223" s="619" t="s">
        <v>5253</v>
      </c>
      <c r="D223" s="620" t="s">
        <v>5413</v>
      </c>
      <c r="E223" s="620" t="s">
        <v>5940</v>
      </c>
      <c r="F223" s="621" t="s">
        <v>4581</v>
      </c>
      <c r="G223" s="620"/>
      <c r="H223" s="636" t="s">
        <v>871</v>
      </c>
      <c r="I223" s="636" t="s">
        <v>1310</v>
      </c>
      <c r="J223" s="636" t="s">
        <v>5184</v>
      </c>
      <c r="K223" s="636" t="s">
        <v>6291</v>
      </c>
    </row>
    <row r="224" spans="1:11">
      <c r="A224" s="614" t="s">
        <v>4663</v>
      </c>
      <c r="B224" s="614" t="s">
        <v>6177</v>
      </c>
      <c r="C224" s="619" t="s">
        <v>5253</v>
      </c>
      <c r="D224" s="620" t="s">
        <v>5414</v>
      </c>
      <c r="E224" s="620" t="s">
        <v>5942</v>
      </c>
      <c r="F224" s="621" t="s">
        <v>4664</v>
      </c>
      <c r="G224" s="620"/>
      <c r="H224" s="636" t="s">
        <v>871</v>
      </c>
      <c r="I224" s="636" t="s">
        <v>1310</v>
      </c>
      <c r="J224" s="636" t="s">
        <v>5184</v>
      </c>
      <c r="K224" s="636" t="s">
        <v>1311</v>
      </c>
    </row>
    <row r="225" spans="1:11">
      <c r="A225" s="614" t="s">
        <v>4437</v>
      </c>
      <c r="B225" s="614" t="s">
        <v>6177</v>
      </c>
      <c r="C225" s="619" t="s">
        <v>5253</v>
      </c>
      <c r="D225" s="620" t="s">
        <v>5415</v>
      </c>
      <c r="E225" s="620" t="s">
        <v>5947</v>
      </c>
      <c r="F225" s="621" t="s">
        <v>4438</v>
      </c>
      <c r="G225" s="620"/>
      <c r="H225" s="636" t="s">
        <v>871</v>
      </c>
      <c r="I225" s="636" t="s">
        <v>1310</v>
      </c>
      <c r="J225" s="636" t="s">
        <v>5184</v>
      </c>
      <c r="K225" s="636" t="s">
        <v>1311</v>
      </c>
    </row>
    <row r="226" spans="1:11">
      <c r="A226" s="614" t="s">
        <v>4584</v>
      </c>
      <c r="B226" s="614" t="s">
        <v>6177</v>
      </c>
      <c r="C226" s="619" t="s">
        <v>5253</v>
      </c>
      <c r="D226" s="620" t="s">
        <v>5412</v>
      </c>
      <c r="E226" s="620" t="s">
        <v>5939</v>
      </c>
      <c r="F226" s="621" t="s">
        <v>4585</v>
      </c>
      <c r="G226" s="620"/>
      <c r="H226" s="636" t="s">
        <v>871</v>
      </c>
      <c r="I226" s="636" t="s">
        <v>1310</v>
      </c>
      <c r="J226" s="636" t="s">
        <v>5184</v>
      </c>
      <c r="K226" s="636" t="s">
        <v>6291</v>
      </c>
    </row>
    <row r="227" spans="1:11">
      <c r="A227" s="614" t="s">
        <v>4439</v>
      </c>
      <c r="B227" s="614" t="s">
        <v>6177</v>
      </c>
      <c r="C227" s="619" t="s">
        <v>5253</v>
      </c>
      <c r="D227" s="620" t="s">
        <v>5416</v>
      </c>
      <c r="E227" s="620" t="s">
        <v>5941</v>
      </c>
      <c r="F227" s="621" t="s">
        <v>4440</v>
      </c>
      <c r="G227" s="620"/>
      <c r="H227" s="636" t="s">
        <v>871</v>
      </c>
      <c r="I227" s="636" t="s">
        <v>1300</v>
      </c>
      <c r="J227" s="636" t="s">
        <v>5185</v>
      </c>
      <c r="K227" s="636" t="s">
        <v>6292</v>
      </c>
    </row>
    <row r="228" spans="1:11">
      <c r="A228" s="614" t="s">
        <v>4586</v>
      </c>
      <c r="B228" s="614" t="s">
        <v>6177</v>
      </c>
      <c r="C228" s="619" t="s">
        <v>5253</v>
      </c>
      <c r="D228" s="620" t="s">
        <v>5418</v>
      </c>
      <c r="E228" s="620" t="s">
        <v>5949</v>
      </c>
      <c r="F228" s="621" t="s">
        <v>4587</v>
      </c>
      <c r="G228" s="620"/>
      <c r="H228" s="636" t="s">
        <v>871</v>
      </c>
      <c r="I228" s="636" t="s">
        <v>1300</v>
      </c>
      <c r="J228" s="636" t="s">
        <v>5185</v>
      </c>
      <c r="K228" s="636" t="s">
        <v>6292</v>
      </c>
    </row>
    <row r="229" spans="1:11">
      <c r="A229" s="614" t="s">
        <v>4441</v>
      </c>
      <c r="B229" s="614" t="s">
        <v>6177</v>
      </c>
      <c r="C229" s="619" t="s">
        <v>5253</v>
      </c>
      <c r="D229" s="620" t="s">
        <v>5417</v>
      </c>
      <c r="E229" s="620" t="s">
        <v>5945</v>
      </c>
      <c r="F229" s="621" t="s">
        <v>4442</v>
      </c>
      <c r="G229" s="620"/>
      <c r="H229" s="636" t="s">
        <v>871</v>
      </c>
      <c r="I229" s="636" t="s">
        <v>1300</v>
      </c>
      <c r="J229" s="636" t="s">
        <v>5185</v>
      </c>
      <c r="K229" s="636" t="s">
        <v>6292</v>
      </c>
    </row>
    <row r="230" spans="1:11">
      <c r="A230" s="614" t="s">
        <v>4443</v>
      </c>
      <c r="B230" s="614" t="s">
        <v>6177</v>
      </c>
      <c r="C230" s="624" t="s">
        <v>5254</v>
      </c>
      <c r="D230" s="625" t="s">
        <v>5265</v>
      </c>
      <c r="E230" s="625" t="s">
        <v>5790</v>
      </c>
      <c r="F230" s="625" t="s">
        <v>4444</v>
      </c>
      <c r="G230" s="626"/>
      <c r="H230" s="636" t="s">
        <v>871</v>
      </c>
      <c r="I230" s="636" t="s">
        <v>1300</v>
      </c>
      <c r="J230" s="636" t="s">
        <v>5185</v>
      </c>
      <c r="K230" s="636" t="s">
        <v>6292</v>
      </c>
    </row>
    <row r="231" spans="1:11">
      <c r="A231" s="614" t="s">
        <v>4429</v>
      </c>
      <c r="B231" s="614" t="s">
        <v>6177</v>
      </c>
      <c r="C231" s="615" t="s">
        <v>5193</v>
      </c>
      <c r="D231" s="616" t="s">
        <v>5554</v>
      </c>
      <c r="E231" s="616" t="s">
        <v>5722</v>
      </c>
      <c r="F231" s="617" t="s">
        <v>4430</v>
      </c>
      <c r="G231" s="616"/>
      <c r="H231" s="636" t="s">
        <v>871</v>
      </c>
      <c r="I231" s="636" t="s">
        <v>1321</v>
      </c>
      <c r="J231" s="636" t="s">
        <v>5183</v>
      </c>
      <c r="K231" s="636" t="s">
        <v>6293</v>
      </c>
    </row>
    <row r="232" spans="1:11">
      <c r="A232" s="614" t="s">
        <v>4582</v>
      </c>
      <c r="B232" s="614" t="s">
        <v>6177</v>
      </c>
      <c r="C232" s="619" t="s">
        <v>5253</v>
      </c>
      <c r="D232" s="620" t="s">
        <v>5421</v>
      </c>
      <c r="E232" s="620" t="s">
        <v>5946</v>
      </c>
      <c r="F232" s="621" t="s">
        <v>4583</v>
      </c>
      <c r="G232" s="620"/>
      <c r="H232" s="636" t="s">
        <v>871</v>
      </c>
      <c r="I232" s="636" t="s">
        <v>1321</v>
      </c>
      <c r="J232" s="636" t="s">
        <v>5183</v>
      </c>
      <c r="K232" s="636" t="s">
        <v>1322</v>
      </c>
    </row>
    <row r="233" spans="1:11">
      <c r="A233" s="614" t="s">
        <v>4435</v>
      </c>
      <c r="B233" s="614" t="s">
        <v>6177</v>
      </c>
      <c r="C233" s="619" t="s">
        <v>5253</v>
      </c>
      <c r="D233" s="620" t="s">
        <v>5419</v>
      </c>
      <c r="E233" s="620" t="s">
        <v>5943</v>
      </c>
      <c r="F233" s="621" t="s">
        <v>4436</v>
      </c>
      <c r="G233" s="620"/>
      <c r="H233" s="636" t="s">
        <v>871</v>
      </c>
      <c r="I233" s="636" t="s">
        <v>1321</v>
      </c>
      <c r="J233" s="636" t="s">
        <v>5183</v>
      </c>
      <c r="K233" s="636" t="s">
        <v>6293</v>
      </c>
    </row>
    <row r="234" spans="1:11">
      <c r="A234" s="614" t="s">
        <v>4433</v>
      </c>
      <c r="B234" s="614" t="s">
        <v>6177</v>
      </c>
      <c r="C234" s="619" t="s">
        <v>5253</v>
      </c>
      <c r="D234" s="620" t="s">
        <v>5420</v>
      </c>
      <c r="E234" s="620" t="s">
        <v>5944</v>
      </c>
      <c r="F234" s="621" t="s">
        <v>4434</v>
      </c>
      <c r="G234" s="620"/>
      <c r="H234" s="636" t="s">
        <v>871</v>
      </c>
      <c r="I234" s="636" t="s">
        <v>1321</v>
      </c>
      <c r="J234" s="636" t="s">
        <v>5183</v>
      </c>
      <c r="K234" s="636" t="s">
        <v>1322</v>
      </c>
    </row>
    <row r="235" spans="1:11">
      <c r="A235" s="614" t="s">
        <v>4431</v>
      </c>
      <c r="B235" s="614" t="s">
        <v>6177</v>
      </c>
      <c r="C235" s="619" t="s">
        <v>5253</v>
      </c>
      <c r="D235" s="620" t="s">
        <v>5422</v>
      </c>
      <c r="E235" s="620" t="s">
        <v>5948</v>
      </c>
      <c r="F235" s="621" t="s">
        <v>4432</v>
      </c>
      <c r="G235" s="620" t="s">
        <v>6294</v>
      </c>
      <c r="H235" s="636" t="s">
        <v>871</v>
      </c>
      <c r="I235" s="636" t="s">
        <v>1321</v>
      </c>
      <c r="J235" s="636" t="s">
        <v>5183</v>
      </c>
      <c r="K235" s="636" t="s">
        <v>1322</v>
      </c>
    </row>
    <row r="236" spans="1:11">
      <c r="A236" s="614" t="s">
        <v>4592</v>
      </c>
      <c r="B236" s="614" t="s">
        <v>6177</v>
      </c>
      <c r="C236" s="627" t="s">
        <v>5194</v>
      </c>
      <c r="D236" s="628" t="s">
        <v>6295</v>
      </c>
      <c r="E236" s="633" t="s">
        <v>5647</v>
      </c>
      <c r="F236" s="628" t="s">
        <v>4593</v>
      </c>
      <c r="G236" s="633"/>
      <c r="H236" s="636" t="s">
        <v>871</v>
      </c>
      <c r="I236" s="636" t="s">
        <v>1302</v>
      </c>
      <c r="J236" s="636" t="s">
        <v>5177</v>
      </c>
      <c r="K236" s="636" t="s">
        <v>6296</v>
      </c>
    </row>
    <row r="237" spans="1:11">
      <c r="A237" s="614" t="s">
        <v>4453</v>
      </c>
      <c r="B237" s="614" t="s">
        <v>6177</v>
      </c>
      <c r="C237" s="627" t="s">
        <v>5194</v>
      </c>
      <c r="D237" s="628" t="s">
        <v>6297</v>
      </c>
      <c r="E237" s="633" t="s">
        <v>5646</v>
      </c>
      <c r="F237" s="628" t="s">
        <v>4454</v>
      </c>
      <c r="G237" s="633"/>
      <c r="H237" s="636" t="s">
        <v>871</v>
      </c>
      <c r="I237" s="636" t="s">
        <v>1302</v>
      </c>
      <c r="J237" s="636" t="s">
        <v>5177</v>
      </c>
      <c r="K237" s="636" t="s">
        <v>6296</v>
      </c>
    </row>
    <row r="238" spans="1:11">
      <c r="A238" s="614" t="s">
        <v>4590</v>
      </c>
      <c r="B238" s="614" t="s">
        <v>6177</v>
      </c>
      <c r="C238" s="627" t="s">
        <v>5194</v>
      </c>
      <c r="D238" s="628" t="s">
        <v>6298</v>
      </c>
      <c r="E238" s="633" t="s">
        <v>5648</v>
      </c>
      <c r="F238" s="628" t="s">
        <v>4591</v>
      </c>
      <c r="G238" s="633"/>
      <c r="H238" s="636" t="s">
        <v>871</v>
      </c>
      <c r="I238" s="636" t="s">
        <v>1302</v>
      </c>
      <c r="J238" s="636" t="s">
        <v>5177</v>
      </c>
      <c r="K238" s="636" t="s">
        <v>6296</v>
      </c>
    </row>
    <row r="239" spans="1:11">
      <c r="A239" s="614" t="s">
        <v>4600</v>
      </c>
      <c r="B239" s="614" t="s">
        <v>6177</v>
      </c>
      <c r="C239" s="627" t="s">
        <v>5194</v>
      </c>
      <c r="D239" s="628" t="s">
        <v>6299</v>
      </c>
      <c r="E239" s="633" t="s">
        <v>5650</v>
      </c>
      <c r="F239" s="628" t="s">
        <v>4601</v>
      </c>
      <c r="G239" s="633"/>
      <c r="H239" s="636" t="s">
        <v>871</v>
      </c>
      <c r="I239" s="636" t="s">
        <v>1302</v>
      </c>
      <c r="J239" s="636" t="s">
        <v>5177</v>
      </c>
      <c r="K239" s="636" t="s">
        <v>6296</v>
      </c>
    </row>
    <row r="240" spans="1:11">
      <c r="A240" s="614" t="s">
        <v>4596</v>
      </c>
      <c r="B240" s="614" t="s">
        <v>6177</v>
      </c>
      <c r="C240" s="627" t="s">
        <v>5194</v>
      </c>
      <c r="D240" s="628" t="s">
        <v>6300</v>
      </c>
      <c r="E240" s="633" t="s">
        <v>5651</v>
      </c>
      <c r="F240" s="628" t="s">
        <v>4597</v>
      </c>
      <c r="G240" s="633"/>
      <c r="H240" s="636" t="s">
        <v>871</v>
      </c>
      <c r="I240" s="636" t="s">
        <v>1302</v>
      </c>
      <c r="J240" s="636" t="s">
        <v>5177</v>
      </c>
      <c r="K240" s="636" t="s">
        <v>6296</v>
      </c>
    </row>
    <row r="241" spans="1:11">
      <c r="A241" s="614" t="s">
        <v>4594</v>
      </c>
      <c r="B241" s="614" t="s">
        <v>6174</v>
      </c>
      <c r="C241" s="627" t="s">
        <v>5194</v>
      </c>
      <c r="D241" s="628" t="s">
        <v>6301</v>
      </c>
      <c r="E241" s="633" t="s">
        <v>5644</v>
      </c>
      <c r="F241" s="628" t="s">
        <v>4595</v>
      </c>
      <c r="G241" s="633"/>
      <c r="H241" s="636" t="s">
        <v>871</v>
      </c>
      <c r="I241" s="636" t="s">
        <v>1302</v>
      </c>
      <c r="J241" s="636" t="s">
        <v>5177</v>
      </c>
      <c r="K241" s="636" t="s">
        <v>6296</v>
      </c>
    </row>
    <row r="242" spans="1:11">
      <c r="A242" s="614" t="s">
        <v>4445</v>
      </c>
      <c r="B242" s="614" t="s">
        <v>6177</v>
      </c>
      <c r="C242" s="615" t="s">
        <v>5193</v>
      </c>
      <c r="D242" s="616" t="s">
        <v>6302</v>
      </c>
      <c r="E242" s="616" t="s">
        <v>5719</v>
      </c>
      <c r="F242" s="617" t="s">
        <v>4446</v>
      </c>
      <c r="G242" s="616"/>
      <c r="H242" s="636" t="s">
        <v>871</v>
      </c>
      <c r="I242" s="636" t="s">
        <v>1302</v>
      </c>
      <c r="J242" s="636" t="s">
        <v>5177</v>
      </c>
      <c r="K242" s="636" t="s">
        <v>6296</v>
      </c>
    </row>
    <row r="243" spans="1:11">
      <c r="A243" s="614" t="s">
        <v>4447</v>
      </c>
      <c r="B243" s="614" t="s">
        <v>6177</v>
      </c>
      <c r="C243" s="615" t="s">
        <v>5193</v>
      </c>
      <c r="D243" s="616" t="s">
        <v>5557</v>
      </c>
      <c r="E243" s="616" t="s">
        <v>5718</v>
      </c>
      <c r="F243" s="617" t="s">
        <v>4448</v>
      </c>
      <c r="G243" s="616"/>
      <c r="H243" s="636" t="s">
        <v>871</v>
      </c>
      <c r="I243" s="636" t="s">
        <v>1302</v>
      </c>
      <c r="J243" s="636" t="s">
        <v>5177</v>
      </c>
      <c r="K243" s="636" t="s">
        <v>6296</v>
      </c>
    </row>
    <row r="244" spans="1:11">
      <c r="A244" s="614" t="s">
        <v>4588</v>
      </c>
      <c r="B244" s="614" t="s">
        <v>6177</v>
      </c>
      <c r="C244" s="615" t="s">
        <v>5193</v>
      </c>
      <c r="D244" s="616" t="s">
        <v>5555</v>
      </c>
      <c r="E244" s="616" t="s">
        <v>5714</v>
      </c>
      <c r="F244" s="617" t="s">
        <v>4589</v>
      </c>
      <c r="G244" s="616"/>
      <c r="H244" s="636" t="s">
        <v>871</v>
      </c>
      <c r="I244" s="636" t="s">
        <v>1302</v>
      </c>
      <c r="J244" s="636" t="s">
        <v>5177</v>
      </c>
      <c r="K244" s="636" t="s">
        <v>6296</v>
      </c>
    </row>
    <row r="245" spans="1:11">
      <c r="A245" s="614" t="s">
        <v>4999</v>
      </c>
      <c r="B245" s="614" t="s">
        <v>6177</v>
      </c>
      <c r="C245" s="615" t="s">
        <v>5193</v>
      </c>
      <c r="D245" s="616" t="s">
        <v>5556</v>
      </c>
      <c r="E245" s="616" t="s">
        <v>5717</v>
      </c>
      <c r="F245" s="617" t="s">
        <v>5000</v>
      </c>
      <c r="G245" s="616"/>
      <c r="H245" s="636" t="s">
        <v>871</v>
      </c>
      <c r="I245" s="636" t="s">
        <v>1302</v>
      </c>
      <c r="J245" s="636" t="s">
        <v>5177</v>
      </c>
      <c r="K245" s="636" t="s">
        <v>6296</v>
      </c>
    </row>
    <row r="246" spans="1:11">
      <c r="A246" s="614" t="s">
        <v>4461</v>
      </c>
      <c r="B246" s="614" t="s">
        <v>6177</v>
      </c>
      <c r="C246" s="619" t="s">
        <v>5253</v>
      </c>
      <c r="D246" s="620" t="s">
        <v>5425</v>
      </c>
      <c r="E246" s="620" t="s">
        <v>5916</v>
      </c>
      <c r="F246" s="621" t="s">
        <v>4462</v>
      </c>
      <c r="G246" s="620"/>
      <c r="H246" s="636" t="s">
        <v>871</v>
      </c>
      <c r="I246" s="636" t="s">
        <v>1302</v>
      </c>
      <c r="J246" s="636" t="s">
        <v>5177</v>
      </c>
      <c r="K246" s="636" t="s">
        <v>6296</v>
      </c>
    </row>
    <row r="247" spans="1:11">
      <c r="A247" s="614" t="s">
        <v>4602</v>
      </c>
      <c r="B247" s="614" t="s">
        <v>6177</v>
      </c>
      <c r="C247" s="619" t="s">
        <v>5253</v>
      </c>
      <c r="D247" s="620" t="s">
        <v>5423</v>
      </c>
      <c r="E247" s="620" t="s">
        <v>5910</v>
      </c>
      <c r="F247" s="621" t="s">
        <v>4603</v>
      </c>
      <c r="G247" s="620"/>
      <c r="H247" s="636" t="s">
        <v>871</v>
      </c>
      <c r="I247" s="636" t="s">
        <v>1302</v>
      </c>
      <c r="J247" s="636" t="s">
        <v>5177</v>
      </c>
      <c r="K247" s="636" t="s">
        <v>6296</v>
      </c>
    </row>
    <row r="248" spans="1:11">
      <c r="A248" s="614" t="s">
        <v>4459</v>
      </c>
      <c r="B248" s="614" t="s">
        <v>6177</v>
      </c>
      <c r="C248" s="619" t="s">
        <v>5253</v>
      </c>
      <c r="D248" s="620" t="s">
        <v>5424</v>
      </c>
      <c r="E248" s="620" t="s">
        <v>5914</v>
      </c>
      <c r="F248" s="621" t="s">
        <v>4460</v>
      </c>
      <c r="G248" s="620"/>
      <c r="H248" s="636" t="s">
        <v>871</v>
      </c>
      <c r="I248" s="636" t="s">
        <v>1302</v>
      </c>
      <c r="J248" s="636" t="s">
        <v>5177</v>
      </c>
      <c r="K248" s="636" t="s">
        <v>6296</v>
      </c>
    </row>
    <row r="249" spans="1:11">
      <c r="A249" s="614" t="s">
        <v>4612</v>
      </c>
      <c r="B249" s="614" t="s">
        <v>6177</v>
      </c>
      <c r="C249" s="619" t="s">
        <v>5253</v>
      </c>
      <c r="D249" s="620" t="s">
        <v>5426</v>
      </c>
      <c r="E249" s="620" t="s">
        <v>5921</v>
      </c>
      <c r="F249" s="621" t="s">
        <v>4613</v>
      </c>
      <c r="G249" s="620"/>
      <c r="H249" s="636" t="s">
        <v>871</v>
      </c>
      <c r="I249" s="636" t="s">
        <v>1315</v>
      </c>
      <c r="J249" s="636" t="s">
        <v>5182</v>
      </c>
      <c r="K249" s="636" t="s">
        <v>6303</v>
      </c>
    </row>
    <row r="250" spans="1:11">
      <c r="A250" s="614" t="s">
        <v>4469</v>
      </c>
      <c r="B250" s="614" t="s">
        <v>6177</v>
      </c>
      <c r="C250" s="619" t="s">
        <v>5253</v>
      </c>
      <c r="D250" s="620" t="s">
        <v>5427</v>
      </c>
      <c r="E250" s="620" t="s">
        <v>5930</v>
      </c>
      <c r="F250" s="621" t="s">
        <v>4470</v>
      </c>
      <c r="G250" s="620" t="s">
        <v>6304</v>
      </c>
      <c r="H250" s="636" t="s">
        <v>871</v>
      </c>
      <c r="I250" s="636" t="s">
        <v>1315</v>
      </c>
      <c r="J250" s="636" t="s">
        <v>5182</v>
      </c>
      <c r="K250" s="636" t="s">
        <v>5123</v>
      </c>
    </row>
    <row r="251" spans="1:11">
      <c r="A251" s="614" t="s">
        <v>4471</v>
      </c>
      <c r="B251" s="614" t="s">
        <v>6177</v>
      </c>
      <c r="C251" s="619" t="s">
        <v>5253</v>
      </c>
      <c r="D251" s="620" t="s">
        <v>5428</v>
      </c>
      <c r="E251" s="620" t="s">
        <v>5931</v>
      </c>
      <c r="F251" s="621" t="s">
        <v>4472</v>
      </c>
      <c r="G251" s="620"/>
      <c r="H251" s="636" t="s">
        <v>871</v>
      </c>
      <c r="I251" s="636" t="s">
        <v>1315</v>
      </c>
      <c r="J251" s="636" t="s">
        <v>5182</v>
      </c>
      <c r="K251" s="636" t="s">
        <v>5123</v>
      </c>
    </row>
    <row r="252" spans="1:11">
      <c r="A252" s="614" t="s">
        <v>6305</v>
      </c>
      <c r="B252" s="614" t="s">
        <v>6177</v>
      </c>
      <c r="C252" s="624" t="s">
        <v>5254</v>
      </c>
      <c r="D252" s="625" t="s">
        <v>5266</v>
      </c>
      <c r="E252" s="625" t="s">
        <v>5789</v>
      </c>
      <c r="F252" s="625" t="s">
        <v>6306</v>
      </c>
      <c r="G252" s="626"/>
      <c r="H252" s="636" t="s">
        <v>871</v>
      </c>
      <c r="I252" s="636" t="s">
        <v>1315</v>
      </c>
      <c r="J252" s="636" t="s">
        <v>5182</v>
      </c>
      <c r="K252" s="636" t="s">
        <v>6303</v>
      </c>
    </row>
    <row r="253" spans="1:11" s="631" customFormat="1" ht="14.5">
      <c r="A253" s="622" t="s">
        <v>6484</v>
      </c>
      <c r="B253" s="614" t="s">
        <v>6177</v>
      </c>
      <c r="C253" s="627" t="s">
        <v>5194</v>
      </c>
      <c r="D253" s="632" t="s">
        <v>6483</v>
      </c>
      <c r="E253" s="632" t="s">
        <v>6482</v>
      </c>
      <c r="F253" s="632" t="s">
        <v>6481</v>
      </c>
      <c r="G253" s="622"/>
      <c r="H253" s="636" t="s">
        <v>871</v>
      </c>
      <c r="I253" s="636" t="s">
        <v>5147</v>
      </c>
      <c r="J253" s="636" t="s">
        <v>5148</v>
      </c>
      <c r="K253" s="636" t="s">
        <v>6307</v>
      </c>
    </row>
    <row r="254" spans="1:11">
      <c r="A254" s="614" t="s">
        <v>5114</v>
      </c>
      <c r="B254" s="614" t="s">
        <v>6177</v>
      </c>
      <c r="C254" s="615" t="s">
        <v>5193</v>
      </c>
      <c r="D254" s="616" t="s">
        <v>5552</v>
      </c>
      <c r="E254" s="616" t="s">
        <v>6308</v>
      </c>
      <c r="F254" s="617" t="s">
        <v>5115</v>
      </c>
      <c r="G254" s="616" t="s">
        <v>6309</v>
      </c>
      <c r="H254" s="636" t="s">
        <v>871</v>
      </c>
      <c r="I254" s="636" t="s">
        <v>5147</v>
      </c>
      <c r="J254" s="636" t="s">
        <v>5148</v>
      </c>
      <c r="K254" s="636" t="s">
        <v>6307</v>
      </c>
    </row>
    <row r="255" spans="1:11" s="631" customFormat="1" ht="14.5">
      <c r="A255" s="622" t="s">
        <v>6486</v>
      </c>
      <c r="B255" s="614" t="s">
        <v>6177</v>
      </c>
      <c r="C255" s="615" t="s">
        <v>5193</v>
      </c>
      <c r="D255" s="640" t="s">
        <v>6485</v>
      </c>
      <c r="E255" s="640" t="s">
        <v>6310</v>
      </c>
      <c r="F255" s="640" t="s">
        <v>6311</v>
      </c>
      <c r="G255" s="622"/>
      <c r="H255" s="636" t="s">
        <v>871</v>
      </c>
      <c r="I255" s="636" t="s">
        <v>5147</v>
      </c>
      <c r="J255" s="636" t="s">
        <v>5148</v>
      </c>
      <c r="K255" s="636" t="s">
        <v>6307</v>
      </c>
    </row>
    <row r="256" spans="1:11" s="631" customFormat="1" ht="14.5">
      <c r="A256" s="622" t="s">
        <v>6488</v>
      </c>
      <c r="B256" s="614" t="s">
        <v>6177</v>
      </c>
      <c r="C256" s="615" t="s">
        <v>5193</v>
      </c>
      <c r="D256" s="640" t="s">
        <v>6487</v>
      </c>
      <c r="E256" s="640" t="s">
        <v>6312</v>
      </c>
      <c r="F256" s="640" t="s">
        <v>6313</v>
      </c>
      <c r="G256" s="622"/>
      <c r="H256" s="636" t="s">
        <v>871</v>
      </c>
      <c r="I256" s="636" t="s">
        <v>5147</v>
      </c>
      <c r="J256" s="636" t="s">
        <v>5148</v>
      </c>
      <c r="K256" s="636" t="s">
        <v>6307</v>
      </c>
    </row>
    <row r="257" spans="1:11" s="631" customFormat="1" ht="14.5">
      <c r="A257" s="622" t="s">
        <v>6490</v>
      </c>
      <c r="B257" s="614" t="s">
        <v>6177</v>
      </c>
      <c r="C257" s="615" t="s">
        <v>5193</v>
      </c>
      <c r="D257" s="640" t="s">
        <v>6489</v>
      </c>
      <c r="E257" s="640" t="s">
        <v>5717</v>
      </c>
      <c r="F257" s="640" t="s">
        <v>5108</v>
      </c>
      <c r="G257" s="622"/>
      <c r="H257" s="636" t="s">
        <v>871</v>
      </c>
      <c r="I257" s="636" t="s">
        <v>5147</v>
      </c>
      <c r="J257" s="636" t="s">
        <v>5148</v>
      </c>
      <c r="K257" s="636" t="s">
        <v>6307</v>
      </c>
    </row>
    <row r="258" spans="1:11" s="631" customFormat="1" ht="14.5">
      <c r="A258" s="622" t="s">
        <v>6492</v>
      </c>
      <c r="B258" s="614" t="s">
        <v>6177</v>
      </c>
      <c r="C258" s="615" t="s">
        <v>5193</v>
      </c>
      <c r="D258" s="640" t="s">
        <v>6491</v>
      </c>
      <c r="E258" s="640" t="s">
        <v>6314</v>
      </c>
      <c r="F258" s="640" t="s">
        <v>6315</v>
      </c>
      <c r="G258" s="622"/>
      <c r="H258" s="636" t="s">
        <v>871</v>
      </c>
      <c r="I258" s="636" t="s">
        <v>5147</v>
      </c>
      <c r="J258" s="636" t="s">
        <v>5148</v>
      </c>
      <c r="K258" s="636" t="s">
        <v>6307</v>
      </c>
    </row>
    <row r="259" spans="1:11" s="631" customFormat="1" ht="14.5">
      <c r="A259" s="622" t="s">
        <v>6493</v>
      </c>
      <c r="B259" s="614" t="s">
        <v>6177</v>
      </c>
      <c r="C259" s="615" t="s">
        <v>5193</v>
      </c>
      <c r="D259" s="640" t="s">
        <v>6316</v>
      </c>
      <c r="E259" s="640" t="s">
        <v>6317</v>
      </c>
      <c r="F259" s="640" t="s">
        <v>6318</v>
      </c>
      <c r="G259" s="622"/>
      <c r="H259" s="636" t="s">
        <v>871</v>
      </c>
      <c r="I259" s="636" t="s">
        <v>5147</v>
      </c>
      <c r="J259" s="636" t="s">
        <v>5148</v>
      </c>
      <c r="K259" s="636" t="s">
        <v>6307</v>
      </c>
    </row>
    <row r="260" spans="1:11" s="631" customFormat="1" ht="14.5">
      <c r="A260" s="622" t="s">
        <v>6495</v>
      </c>
      <c r="B260" s="614" t="s">
        <v>6177</v>
      </c>
      <c r="C260" s="615" t="s">
        <v>5193</v>
      </c>
      <c r="D260" s="640" t="s">
        <v>6494</v>
      </c>
      <c r="E260" s="640" t="s">
        <v>6319</v>
      </c>
      <c r="F260" s="640" t="s">
        <v>6320</v>
      </c>
      <c r="G260" s="622"/>
      <c r="H260" s="636" t="s">
        <v>871</v>
      </c>
      <c r="I260" s="636" t="s">
        <v>5147</v>
      </c>
      <c r="J260" s="636" t="s">
        <v>5148</v>
      </c>
      <c r="K260" s="636" t="s">
        <v>6307</v>
      </c>
    </row>
    <row r="261" spans="1:11" s="631" customFormat="1" ht="14.5">
      <c r="A261" s="614" t="s">
        <v>5109</v>
      </c>
      <c r="B261" s="614" t="s">
        <v>6177</v>
      </c>
      <c r="C261" s="619" t="s">
        <v>5253</v>
      </c>
      <c r="D261" s="620" t="s">
        <v>5394</v>
      </c>
      <c r="E261" s="620" t="s">
        <v>6321</v>
      </c>
      <c r="F261" s="621" t="s">
        <v>6322</v>
      </c>
      <c r="G261" s="620" t="s">
        <v>6323</v>
      </c>
      <c r="H261" s="636" t="s">
        <v>871</v>
      </c>
      <c r="I261" s="636" t="s">
        <v>5147</v>
      </c>
      <c r="J261" s="636" t="s">
        <v>5148</v>
      </c>
      <c r="K261" s="636" t="s">
        <v>6307</v>
      </c>
    </row>
    <row r="262" spans="1:11" s="631" customFormat="1" ht="14.5">
      <c r="A262" s="614" t="s">
        <v>5110</v>
      </c>
      <c r="B262" s="614" t="s">
        <v>6177</v>
      </c>
      <c r="C262" s="619" t="s">
        <v>5253</v>
      </c>
      <c r="D262" s="620" t="s">
        <v>6324</v>
      </c>
      <c r="E262" s="620" t="s">
        <v>6325</v>
      </c>
      <c r="F262" s="621" t="s">
        <v>6326</v>
      </c>
      <c r="G262" s="620" t="s">
        <v>6327</v>
      </c>
      <c r="H262" s="636" t="s">
        <v>871</v>
      </c>
      <c r="I262" s="636" t="s">
        <v>5147</v>
      </c>
      <c r="J262" s="636" t="s">
        <v>5148</v>
      </c>
      <c r="K262" s="636" t="s">
        <v>6307</v>
      </c>
    </row>
    <row r="263" spans="1:11" s="631" customFormat="1" ht="14.5">
      <c r="A263" s="614" t="s">
        <v>5111</v>
      </c>
      <c r="B263" s="614" t="s">
        <v>6177</v>
      </c>
      <c r="C263" s="619" t="s">
        <v>5253</v>
      </c>
      <c r="D263" s="620" t="s">
        <v>5393</v>
      </c>
      <c r="E263" s="620" t="s">
        <v>6328</v>
      </c>
      <c r="F263" s="621" t="s">
        <v>6329</v>
      </c>
      <c r="G263" s="620" t="s">
        <v>6330</v>
      </c>
      <c r="H263" s="636" t="s">
        <v>871</v>
      </c>
      <c r="I263" s="636" t="s">
        <v>5147</v>
      </c>
      <c r="J263" s="636" t="s">
        <v>5148</v>
      </c>
      <c r="K263" s="636" t="s">
        <v>6307</v>
      </c>
    </row>
    <row r="264" spans="1:11" s="631" customFormat="1" ht="14.5">
      <c r="A264" s="614" t="s">
        <v>5112</v>
      </c>
      <c r="B264" s="614" t="s">
        <v>6177</v>
      </c>
      <c r="C264" s="619" t="s">
        <v>5253</v>
      </c>
      <c r="D264" s="620" t="s">
        <v>5392</v>
      </c>
      <c r="E264" s="620" t="s">
        <v>6331</v>
      </c>
      <c r="F264" s="621" t="s">
        <v>5113</v>
      </c>
      <c r="G264" s="620" t="s">
        <v>6332</v>
      </c>
      <c r="H264" s="636" t="s">
        <v>871</v>
      </c>
      <c r="I264" s="636" t="s">
        <v>5147</v>
      </c>
      <c r="J264" s="636" t="s">
        <v>5148</v>
      </c>
      <c r="K264" s="636" t="s">
        <v>6307</v>
      </c>
    </row>
    <row r="265" spans="1:11" s="631" customFormat="1" ht="14.5">
      <c r="A265" s="622" t="s">
        <v>6497</v>
      </c>
      <c r="B265" s="614" t="s">
        <v>6177</v>
      </c>
      <c r="C265" s="619" t="s">
        <v>5253</v>
      </c>
      <c r="D265" s="620" t="s">
        <v>6496</v>
      </c>
      <c r="E265" s="620" t="s">
        <v>6333</v>
      </c>
      <c r="F265" s="620" t="s">
        <v>6334</v>
      </c>
      <c r="G265" s="622"/>
      <c r="H265" s="636" t="s">
        <v>871</v>
      </c>
      <c r="I265" s="636" t="s">
        <v>5147</v>
      </c>
      <c r="J265" s="636" t="s">
        <v>5148</v>
      </c>
      <c r="K265" s="636" t="s">
        <v>6307</v>
      </c>
    </row>
    <row r="266" spans="1:11" s="631" customFormat="1" ht="14.5">
      <c r="A266" s="614" t="s">
        <v>4785</v>
      </c>
      <c r="B266" s="614" t="s">
        <v>6177</v>
      </c>
      <c r="C266" s="627" t="s">
        <v>5194</v>
      </c>
      <c r="D266" s="628" t="s">
        <v>6335</v>
      </c>
      <c r="E266" s="633" t="s">
        <v>5653</v>
      </c>
      <c r="F266" s="628" t="s">
        <v>4786</v>
      </c>
      <c r="G266" s="633"/>
      <c r="H266" s="641" t="s">
        <v>1376</v>
      </c>
      <c r="I266" s="641" t="s">
        <v>5154</v>
      </c>
      <c r="J266" s="641" t="s">
        <v>5155</v>
      </c>
      <c r="K266" s="641" t="s">
        <v>6336</v>
      </c>
    </row>
    <row r="267" spans="1:11" s="631" customFormat="1" ht="14.5">
      <c r="A267" s="614" t="s">
        <v>4876</v>
      </c>
      <c r="B267" s="614" t="s">
        <v>6177</v>
      </c>
      <c r="C267" s="619" t="s">
        <v>5253</v>
      </c>
      <c r="D267" s="620" t="s">
        <v>6337</v>
      </c>
      <c r="E267" s="621" t="s">
        <v>5968</v>
      </c>
      <c r="F267" s="621" t="s">
        <v>4877</v>
      </c>
      <c r="G267" s="621"/>
      <c r="H267" s="641" t="s">
        <v>1376</v>
      </c>
      <c r="I267" s="641" t="s">
        <v>5154</v>
      </c>
      <c r="J267" s="641" t="s">
        <v>5155</v>
      </c>
      <c r="K267" s="641" t="s">
        <v>6336</v>
      </c>
    </row>
    <row r="268" spans="1:11" s="631" customFormat="1" ht="14.5">
      <c r="A268" s="614" t="s">
        <v>6338</v>
      </c>
      <c r="B268" s="614" t="s">
        <v>6177</v>
      </c>
      <c r="C268" s="619" t="s">
        <v>5253</v>
      </c>
      <c r="D268" s="620" t="s">
        <v>6339</v>
      </c>
      <c r="E268" s="621" t="s">
        <v>5798</v>
      </c>
      <c r="F268" s="621" t="s">
        <v>6340</v>
      </c>
      <c r="G268" s="621"/>
      <c r="H268" s="641" t="s">
        <v>1376</v>
      </c>
      <c r="I268" s="641" t="s">
        <v>5154</v>
      </c>
      <c r="J268" s="641" t="s">
        <v>5155</v>
      </c>
      <c r="K268" s="641" t="s">
        <v>6336</v>
      </c>
    </row>
    <row r="269" spans="1:11">
      <c r="A269" s="614" t="s">
        <v>5049</v>
      </c>
      <c r="B269" s="614" t="s">
        <v>6177</v>
      </c>
      <c r="C269" s="619" t="s">
        <v>5253</v>
      </c>
      <c r="D269" s="620" t="s">
        <v>5431</v>
      </c>
      <c r="E269" s="620" t="s">
        <v>5804</v>
      </c>
      <c r="F269" s="621" t="s">
        <v>5050</v>
      </c>
      <c r="G269" s="620"/>
      <c r="H269" s="641" t="s">
        <v>1376</v>
      </c>
      <c r="I269" s="641" t="s">
        <v>5188</v>
      </c>
      <c r="J269" s="641" t="s">
        <v>5189</v>
      </c>
      <c r="K269" s="641" t="s">
        <v>6341</v>
      </c>
    </row>
    <row r="270" spans="1:11">
      <c r="A270" s="614" t="s">
        <v>5051</v>
      </c>
      <c r="B270" s="614" t="s">
        <v>6177</v>
      </c>
      <c r="C270" s="619" t="s">
        <v>5253</v>
      </c>
      <c r="D270" s="620" t="s">
        <v>5434</v>
      </c>
      <c r="E270" s="620" t="s">
        <v>5801</v>
      </c>
      <c r="F270" s="621" t="s">
        <v>5052</v>
      </c>
      <c r="G270" s="620"/>
      <c r="H270" s="641" t="s">
        <v>1376</v>
      </c>
      <c r="I270" s="641" t="s">
        <v>5188</v>
      </c>
      <c r="J270" s="641" t="s">
        <v>5189</v>
      </c>
      <c r="K270" s="641" t="s">
        <v>5124</v>
      </c>
    </row>
    <row r="271" spans="1:11">
      <c r="A271" s="614" t="s">
        <v>5053</v>
      </c>
      <c r="B271" s="614" t="s">
        <v>6177</v>
      </c>
      <c r="C271" s="619" t="s">
        <v>5253</v>
      </c>
      <c r="D271" s="620" t="s">
        <v>5430</v>
      </c>
      <c r="E271" s="620" t="s">
        <v>5802</v>
      </c>
      <c r="F271" s="621" t="s">
        <v>5054</v>
      </c>
      <c r="G271" s="620"/>
      <c r="H271" s="641" t="s">
        <v>1376</v>
      </c>
      <c r="I271" s="641" t="s">
        <v>5188</v>
      </c>
      <c r="J271" s="641" t="s">
        <v>5189</v>
      </c>
      <c r="K271" s="641" t="s">
        <v>6341</v>
      </c>
    </row>
    <row r="272" spans="1:11">
      <c r="A272" s="614" t="s">
        <v>5055</v>
      </c>
      <c r="B272" s="614" t="s">
        <v>6177</v>
      </c>
      <c r="C272" s="619" t="s">
        <v>5253</v>
      </c>
      <c r="D272" s="620" t="s">
        <v>5432</v>
      </c>
      <c r="E272" s="620" t="s">
        <v>5803</v>
      </c>
      <c r="F272" s="621" t="s">
        <v>5056</v>
      </c>
      <c r="G272" s="620"/>
      <c r="H272" s="641" t="s">
        <v>1376</v>
      </c>
      <c r="I272" s="641" t="s">
        <v>5188</v>
      </c>
      <c r="J272" s="641" t="s">
        <v>5189</v>
      </c>
      <c r="K272" s="641" t="s">
        <v>5124</v>
      </c>
    </row>
    <row r="273" spans="1:11">
      <c r="A273" s="614" t="s">
        <v>5097</v>
      </c>
      <c r="B273" s="614" t="s">
        <v>6177</v>
      </c>
      <c r="C273" s="629" t="s">
        <v>5255</v>
      </c>
      <c r="D273" s="630" t="s">
        <v>6342</v>
      </c>
      <c r="E273" s="630" t="s">
        <v>5667</v>
      </c>
      <c r="F273" s="630" t="s">
        <v>5098</v>
      </c>
      <c r="G273" s="630" t="s">
        <v>6342</v>
      </c>
      <c r="H273" s="641" t="s">
        <v>1376</v>
      </c>
      <c r="I273" s="641" t="s">
        <v>5152</v>
      </c>
      <c r="J273" s="641" t="s">
        <v>5153</v>
      </c>
      <c r="K273" s="641" t="s">
        <v>6343</v>
      </c>
    </row>
    <row r="274" spans="1:11">
      <c r="A274" s="614" t="s">
        <v>5126</v>
      </c>
      <c r="B274" s="614" t="s">
        <v>6177</v>
      </c>
      <c r="C274" s="615" t="s">
        <v>5193</v>
      </c>
      <c r="D274" s="616" t="s">
        <v>5561</v>
      </c>
      <c r="E274" s="616" t="s">
        <v>5674</v>
      </c>
      <c r="F274" s="617" t="s">
        <v>5128</v>
      </c>
      <c r="G274" s="616" t="s">
        <v>6344</v>
      </c>
      <c r="H274" s="641" t="s">
        <v>1376</v>
      </c>
      <c r="I274" s="642" t="s">
        <v>5152</v>
      </c>
      <c r="J274" s="642" t="s">
        <v>5153</v>
      </c>
      <c r="K274" s="642" t="s">
        <v>6343</v>
      </c>
    </row>
    <row r="275" spans="1:11">
      <c r="A275" s="614" t="s">
        <v>5059</v>
      </c>
      <c r="B275" s="614" t="s">
        <v>6177</v>
      </c>
      <c r="C275" s="615" t="s">
        <v>5193</v>
      </c>
      <c r="D275" s="616" t="s">
        <v>5560</v>
      </c>
      <c r="E275" s="616" t="s">
        <v>5672</v>
      </c>
      <c r="F275" s="617" t="s">
        <v>5060</v>
      </c>
      <c r="G275" s="616" t="s">
        <v>6345</v>
      </c>
      <c r="H275" s="641" t="s">
        <v>1376</v>
      </c>
      <c r="I275" s="641" t="s">
        <v>5152</v>
      </c>
      <c r="J275" s="641" t="s">
        <v>5153</v>
      </c>
      <c r="K275" s="641" t="s">
        <v>5125</v>
      </c>
    </row>
    <row r="276" spans="1:11">
      <c r="A276" s="614" t="s">
        <v>6346</v>
      </c>
      <c r="B276" s="614" t="s">
        <v>6177</v>
      </c>
      <c r="C276" s="615" t="s">
        <v>5193</v>
      </c>
      <c r="D276" s="616" t="s">
        <v>5558</v>
      </c>
      <c r="E276" s="616" t="s">
        <v>5671</v>
      </c>
      <c r="F276" s="617" t="s">
        <v>5127</v>
      </c>
      <c r="G276" s="616" t="s">
        <v>6347</v>
      </c>
      <c r="H276" s="641" t="s">
        <v>1376</v>
      </c>
      <c r="I276" s="642" t="s">
        <v>5152</v>
      </c>
      <c r="J276" s="642" t="s">
        <v>5153</v>
      </c>
      <c r="K276" s="642" t="s">
        <v>6343</v>
      </c>
    </row>
    <row r="277" spans="1:11">
      <c r="A277" s="614" t="s">
        <v>5061</v>
      </c>
      <c r="B277" s="614" t="s">
        <v>6177</v>
      </c>
      <c r="C277" s="615" t="s">
        <v>5193</v>
      </c>
      <c r="D277" s="616" t="s">
        <v>5559</v>
      </c>
      <c r="E277" s="616" t="s">
        <v>5673</v>
      </c>
      <c r="F277" s="617" t="s">
        <v>5062</v>
      </c>
      <c r="G277" s="616" t="s">
        <v>6348</v>
      </c>
      <c r="H277" s="641" t="s">
        <v>1376</v>
      </c>
      <c r="I277" s="641" t="s">
        <v>5152</v>
      </c>
      <c r="J277" s="641" t="s">
        <v>5153</v>
      </c>
      <c r="K277" s="641" t="s">
        <v>6343</v>
      </c>
    </row>
    <row r="278" spans="1:11">
      <c r="A278" s="614" t="s">
        <v>4633</v>
      </c>
      <c r="B278" s="614" t="s">
        <v>6177</v>
      </c>
      <c r="C278" s="619" t="s">
        <v>5253</v>
      </c>
      <c r="D278" s="620" t="s">
        <v>5436</v>
      </c>
      <c r="E278" s="620" t="s">
        <v>5965</v>
      </c>
      <c r="F278" s="621" t="s">
        <v>4634</v>
      </c>
      <c r="G278" s="620"/>
      <c r="H278" s="641" t="s">
        <v>1376</v>
      </c>
      <c r="I278" s="641" t="s">
        <v>5152</v>
      </c>
      <c r="J278" s="641" t="s">
        <v>5153</v>
      </c>
      <c r="K278" s="641" t="s">
        <v>5125</v>
      </c>
    </row>
    <row r="279" spans="1:11">
      <c r="A279" s="614" t="s">
        <v>4635</v>
      </c>
      <c r="B279" s="614" t="s">
        <v>6177</v>
      </c>
      <c r="C279" s="619" t="s">
        <v>5253</v>
      </c>
      <c r="D279" s="620" t="s">
        <v>5435</v>
      </c>
      <c r="E279" s="620" t="s">
        <v>5963</v>
      </c>
      <c r="F279" s="621" t="s">
        <v>4636</v>
      </c>
      <c r="G279" s="620"/>
      <c r="H279" s="641" t="s">
        <v>1376</v>
      </c>
      <c r="I279" s="641" t="s">
        <v>5152</v>
      </c>
      <c r="J279" s="641" t="s">
        <v>5153</v>
      </c>
      <c r="K279" s="641" t="s">
        <v>5125</v>
      </c>
    </row>
    <row r="280" spans="1:11">
      <c r="A280" s="614" t="s">
        <v>4692</v>
      </c>
      <c r="B280" s="614" t="s">
        <v>6177</v>
      </c>
      <c r="C280" s="619" t="s">
        <v>5253</v>
      </c>
      <c r="D280" s="620" t="s">
        <v>5438</v>
      </c>
      <c r="E280" s="620" t="s">
        <v>5962</v>
      </c>
      <c r="F280" s="621" t="s">
        <v>4693</v>
      </c>
      <c r="G280" s="620"/>
      <c r="H280" s="641" t="s">
        <v>1376</v>
      </c>
      <c r="I280" s="641" t="s">
        <v>5152</v>
      </c>
      <c r="J280" s="641" t="s">
        <v>5153</v>
      </c>
      <c r="K280" s="641" t="s">
        <v>5125</v>
      </c>
    </row>
    <row r="281" spans="1:11">
      <c r="A281" s="614" t="s">
        <v>4690</v>
      </c>
      <c r="B281" s="614" t="s">
        <v>6177</v>
      </c>
      <c r="C281" s="619" t="s">
        <v>5253</v>
      </c>
      <c r="D281" s="620" t="s">
        <v>5437</v>
      </c>
      <c r="E281" s="620" t="s">
        <v>5960</v>
      </c>
      <c r="F281" s="621" t="s">
        <v>4691</v>
      </c>
      <c r="G281" s="620"/>
      <c r="H281" s="641" t="s">
        <v>1376</v>
      </c>
      <c r="I281" s="641" t="s">
        <v>5152</v>
      </c>
      <c r="J281" s="641" t="s">
        <v>5153</v>
      </c>
      <c r="K281" s="641" t="s">
        <v>5125</v>
      </c>
    </row>
    <row r="282" spans="1:11">
      <c r="A282" s="614" t="s">
        <v>5009</v>
      </c>
      <c r="B282" s="614" t="s">
        <v>6177</v>
      </c>
      <c r="C282" s="615" t="s">
        <v>5193</v>
      </c>
      <c r="D282" s="616" t="s">
        <v>5562</v>
      </c>
      <c r="E282" s="616" t="s">
        <v>5723</v>
      </c>
      <c r="F282" s="617" t="s">
        <v>5010</v>
      </c>
      <c r="G282" s="616"/>
      <c r="H282" s="641" t="s">
        <v>1376</v>
      </c>
      <c r="I282" s="641" t="s">
        <v>1326</v>
      </c>
      <c r="J282" s="641" t="s">
        <v>5187</v>
      </c>
      <c r="K282" s="641" t="s">
        <v>6349</v>
      </c>
    </row>
    <row r="283" spans="1:11">
      <c r="A283" s="614" t="s">
        <v>4694</v>
      </c>
      <c r="B283" s="614" t="s">
        <v>6177</v>
      </c>
      <c r="C283" s="619" t="s">
        <v>5253</v>
      </c>
      <c r="D283" s="620" t="s">
        <v>5440</v>
      </c>
      <c r="E283" s="620" t="s">
        <v>5961</v>
      </c>
      <c r="F283" s="621" t="s">
        <v>4695</v>
      </c>
      <c r="G283" s="620"/>
      <c r="H283" s="641" t="s">
        <v>1376</v>
      </c>
      <c r="I283" s="641" t="s">
        <v>1326</v>
      </c>
      <c r="J283" s="641" t="s">
        <v>5187</v>
      </c>
      <c r="K283" s="641" t="s">
        <v>1327</v>
      </c>
    </row>
    <row r="284" spans="1:11">
      <c r="A284" s="614" t="s">
        <v>4639</v>
      </c>
      <c r="B284" s="614" t="s">
        <v>6177</v>
      </c>
      <c r="C284" s="619" t="s">
        <v>5253</v>
      </c>
      <c r="D284" s="620" t="s">
        <v>5439</v>
      </c>
      <c r="E284" s="620" t="s">
        <v>5964</v>
      </c>
      <c r="F284" s="621" t="s">
        <v>4640</v>
      </c>
      <c r="G284" s="620" t="s">
        <v>6350</v>
      </c>
      <c r="H284" s="641" t="s">
        <v>1376</v>
      </c>
      <c r="I284" s="641" t="s">
        <v>1326</v>
      </c>
      <c r="J284" s="641" t="s">
        <v>5187</v>
      </c>
      <c r="K284" s="641" t="s">
        <v>1327</v>
      </c>
    </row>
    <row r="285" spans="1:11">
      <c r="A285" s="614" t="s">
        <v>4637</v>
      </c>
      <c r="B285" s="614" t="s">
        <v>6177</v>
      </c>
      <c r="C285" s="619" t="s">
        <v>5253</v>
      </c>
      <c r="D285" s="620" t="s">
        <v>5441</v>
      </c>
      <c r="E285" s="620" t="s">
        <v>5966</v>
      </c>
      <c r="F285" s="621" t="s">
        <v>4638</v>
      </c>
      <c r="G285" s="620"/>
      <c r="H285" s="641" t="s">
        <v>1376</v>
      </c>
      <c r="I285" s="641" t="s">
        <v>1326</v>
      </c>
      <c r="J285" s="641" t="s">
        <v>5187</v>
      </c>
      <c r="K285" s="641" t="s">
        <v>1327</v>
      </c>
    </row>
    <row r="286" spans="1:11">
      <c r="A286" s="614" t="s">
        <v>4641</v>
      </c>
      <c r="B286" s="614" t="s">
        <v>6177</v>
      </c>
      <c r="C286" s="619" t="s">
        <v>5253</v>
      </c>
      <c r="D286" s="620" t="s">
        <v>5442</v>
      </c>
      <c r="E286" s="620" t="s">
        <v>5967</v>
      </c>
      <c r="F286" s="621" t="s">
        <v>4642</v>
      </c>
      <c r="G286" s="620"/>
      <c r="H286" s="641" t="s">
        <v>1376</v>
      </c>
      <c r="I286" s="641" t="s">
        <v>1326</v>
      </c>
      <c r="J286" s="641" t="s">
        <v>5187</v>
      </c>
      <c r="K286" s="641" t="s">
        <v>1327</v>
      </c>
    </row>
    <row r="287" spans="1:11">
      <c r="A287" s="614" t="s">
        <v>4643</v>
      </c>
      <c r="B287" s="614" t="s">
        <v>6177</v>
      </c>
      <c r="C287" s="624" t="s">
        <v>5254</v>
      </c>
      <c r="D287" s="625" t="s">
        <v>5267</v>
      </c>
      <c r="E287" s="625" t="s">
        <v>5791</v>
      </c>
      <c r="F287" s="625" t="s">
        <v>4644</v>
      </c>
      <c r="G287" s="626"/>
      <c r="H287" s="641" t="s">
        <v>1376</v>
      </c>
      <c r="I287" s="641" t="s">
        <v>1326</v>
      </c>
      <c r="J287" s="641" t="s">
        <v>5187</v>
      </c>
      <c r="K287" s="641" t="s">
        <v>6349</v>
      </c>
    </row>
    <row r="288" spans="1:11">
      <c r="A288" s="614" t="s">
        <v>5007</v>
      </c>
      <c r="B288" s="614" t="s">
        <v>6177</v>
      </c>
      <c r="C288" s="615" t="s">
        <v>5193</v>
      </c>
      <c r="D288" s="616" t="s">
        <v>5563</v>
      </c>
      <c r="E288" s="616" t="s">
        <v>5724</v>
      </c>
      <c r="F288" s="617" t="s">
        <v>5008</v>
      </c>
      <c r="G288" s="616"/>
      <c r="H288" s="641" t="s">
        <v>1376</v>
      </c>
      <c r="I288" s="641" t="s">
        <v>24</v>
      </c>
      <c r="J288" s="641" t="s">
        <v>5191</v>
      </c>
      <c r="K288" s="641" t="s">
        <v>6351</v>
      </c>
    </row>
    <row r="289" spans="1:11">
      <c r="A289" s="614" t="s">
        <v>4645</v>
      </c>
      <c r="B289" s="614" t="s">
        <v>6177</v>
      </c>
      <c r="C289" s="619" t="s">
        <v>5253</v>
      </c>
      <c r="D289" s="620" t="s">
        <v>5444</v>
      </c>
      <c r="E289" s="620" t="s">
        <v>5974</v>
      </c>
      <c r="F289" s="621" t="s">
        <v>4646</v>
      </c>
      <c r="G289" s="620"/>
      <c r="H289" s="641" t="s">
        <v>1376</v>
      </c>
      <c r="I289" s="641" t="s">
        <v>24</v>
      </c>
      <c r="J289" s="641" t="s">
        <v>5191</v>
      </c>
      <c r="K289" s="641" t="s">
        <v>1328</v>
      </c>
    </row>
    <row r="290" spans="1:11">
      <c r="A290" s="614" t="s">
        <v>4702</v>
      </c>
      <c r="B290" s="614" t="s">
        <v>6177</v>
      </c>
      <c r="C290" s="619" t="s">
        <v>5253</v>
      </c>
      <c r="D290" s="620" t="s">
        <v>5448</v>
      </c>
      <c r="E290" s="620" t="s">
        <v>5972</v>
      </c>
      <c r="F290" s="621" t="s">
        <v>4703</v>
      </c>
      <c r="G290" s="620"/>
      <c r="H290" s="641" t="s">
        <v>1376</v>
      </c>
      <c r="I290" s="641" t="s">
        <v>24</v>
      </c>
      <c r="J290" s="641" t="s">
        <v>5191</v>
      </c>
      <c r="K290" s="641" t="s">
        <v>1328</v>
      </c>
    </row>
    <row r="291" spans="1:11">
      <c r="A291" s="614" t="s">
        <v>4657</v>
      </c>
      <c r="B291" s="614" t="s">
        <v>6177</v>
      </c>
      <c r="C291" s="619" t="s">
        <v>5253</v>
      </c>
      <c r="D291" s="620" t="s">
        <v>5445</v>
      </c>
      <c r="E291" s="620" t="s">
        <v>5978</v>
      </c>
      <c r="F291" s="621" t="s">
        <v>4658</v>
      </c>
      <c r="G291" s="620"/>
      <c r="H291" s="641" t="s">
        <v>1376</v>
      </c>
      <c r="I291" s="641" t="s">
        <v>24</v>
      </c>
      <c r="J291" s="641" t="s">
        <v>5191</v>
      </c>
      <c r="K291" s="641" t="s">
        <v>1328</v>
      </c>
    </row>
    <row r="292" spans="1:11">
      <c r="A292" s="614" t="s">
        <v>4649</v>
      </c>
      <c r="B292" s="614" t="s">
        <v>6177</v>
      </c>
      <c r="C292" s="619" t="s">
        <v>5253</v>
      </c>
      <c r="D292" s="620" t="s">
        <v>5446</v>
      </c>
      <c r="E292" s="620" t="s">
        <v>5979</v>
      </c>
      <c r="F292" s="621" t="s">
        <v>4650</v>
      </c>
      <c r="G292" s="620"/>
      <c r="H292" s="641" t="s">
        <v>1376</v>
      </c>
      <c r="I292" s="641" t="s">
        <v>24</v>
      </c>
      <c r="J292" s="641" t="s">
        <v>5191</v>
      </c>
      <c r="K292" s="641" t="s">
        <v>1328</v>
      </c>
    </row>
    <row r="293" spans="1:11">
      <c r="A293" s="614" t="s">
        <v>4647</v>
      </c>
      <c r="B293" s="614" t="s">
        <v>6177</v>
      </c>
      <c r="C293" s="619" t="s">
        <v>5253</v>
      </c>
      <c r="D293" s="620" t="s">
        <v>5443</v>
      </c>
      <c r="E293" s="620" t="s">
        <v>5973</v>
      </c>
      <c r="F293" s="621" t="s">
        <v>4648</v>
      </c>
      <c r="G293" s="620"/>
      <c r="H293" s="641" t="s">
        <v>1376</v>
      </c>
      <c r="I293" s="641" t="s">
        <v>24</v>
      </c>
      <c r="J293" s="641" t="s">
        <v>5191</v>
      </c>
      <c r="K293" s="641" t="s">
        <v>1328</v>
      </c>
    </row>
    <row r="294" spans="1:11">
      <c r="A294" s="614" t="s">
        <v>4700</v>
      </c>
      <c r="B294" s="614" t="s">
        <v>6177</v>
      </c>
      <c r="C294" s="619" t="s">
        <v>5253</v>
      </c>
      <c r="D294" s="620" t="s">
        <v>5447</v>
      </c>
      <c r="E294" s="620" t="s">
        <v>5971</v>
      </c>
      <c r="F294" s="621" t="s">
        <v>4701</v>
      </c>
      <c r="G294" s="620"/>
      <c r="H294" s="641" t="s">
        <v>1376</v>
      </c>
      <c r="I294" s="641" t="s">
        <v>24</v>
      </c>
      <c r="J294" s="641" t="s">
        <v>5191</v>
      </c>
      <c r="K294" s="641" t="s">
        <v>1328</v>
      </c>
    </row>
    <row r="295" spans="1:11">
      <c r="A295" s="614" t="s">
        <v>4660</v>
      </c>
      <c r="B295" s="614" t="s">
        <v>6177</v>
      </c>
      <c r="C295" s="624" t="s">
        <v>5254</v>
      </c>
      <c r="D295" s="625" t="s">
        <v>5268</v>
      </c>
      <c r="E295" s="625" t="s">
        <v>5792</v>
      </c>
      <c r="F295" s="625" t="s">
        <v>4661</v>
      </c>
      <c r="G295" s="626"/>
      <c r="H295" s="641" t="s">
        <v>1376</v>
      </c>
      <c r="I295" s="641" t="s">
        <v>24</v>
      </c>
      <c r="J295" s="641" t="s">
        <v>5191</v>
      </c>
      <c r="K295" s="641" t="s">
        <v>6351</v>
      </c>
    </row>
    <row r="296" spans="1:11">
      <c r="A296" s="614" t="s">
        <v>5104</v>
      </c>
      <c r="B296" s="614" t="s">
        <v>6177</v>
      </c>
      <c r="C296" s="629" t="s">
        <v>5255</v>
      </c>
      <c r="D296" s="630" t="s">
        <v>6352</v>
      </c>
      <c r="E296" s="630" t="s">
        <v>5668</v>
      </c>
      <c r="F296" s="630" t="s">
        <v>5105</v>
      </c>
      <c r="G296" s="630" t="s">
        <v>6352</v>
      </c>
      <c r="H296" s="641" t="s">
        <v>1376</v>
      </c>
      <c r="I296" s="641" t="s">
        <v>2</v>
      </c>
      <c r="J296" s="641" t="s">
        <v>5190</v>
      </c>
      <c r="K296" s="641" t="s">
        <v>6353</v>
      </c>
    </row>
    <row r="297" spans="1:11">
      <c r="A297" s="614" t="s">
        <v>4653</v>
      </c>
      <c r="B297" s="614" t="s">
        <v>6177</v>
      </c>
      <c r="C297" s="619" t="s">
        <v>5253</v>
      </c>
      <c r="D297" s="620" t="s">
        <v>5450</v>
      </c>
      <c r="E297" s="620" t="s">
        <v>5977</v>
      </c>
      <c r="F297" s="621" t="s">
        <v>4654</v>
      </c>
      <c r="G297" s="620"/>
      <c r="H297" s="641" t="s">
        <v>1376</v>
      </c>
      <c r="I297" s="641" t="s">
        <v>2</v>
      </c>
      <c r="J297" s="641" t="s">
        <v>5190</v>
      </c>
      <c r="K297" s="641" t="s">
        <v>1325</v>
      </c>
    </row>
    <row r="298" spans="1:11">
      <c r="A298" s="614" t="s">
        <v>4698</v>
      </c>
      <c r="B298" s="614" t="s">
        <v>6177</v>
      </c>
      <c r="C298" s="619" t="s">
        <v>5253</v>
      </c>
      <c r="D298" s="620" t="s">
        <v>5453</v>
      </c>
      <c r="E298" s="620" t="s">
        <v>5970</v>
      </c>
      <c r="F298" s="621" t="s">
        <v>4699</v>
      </c>
      <c r="G298" s="620"/>
      <c r="H298" s="641" t="s">
        <v>1376</v>
      </c>
      <c r="I298" s="641" t="s">
        <v>2</v>
      </c>
      <c r="J298" s="641" t="s">
        <v>5190</v>
      </c>
      <c r="K298" s="641" t="s">
        <v>1325</v>
      </c>
    </row>
    <row r="299" spans="1:11">
      <c r="A299" s="614" t="s">
        <v>4651</v>
      </c>
      <c r="B299" s="614" t="s">
        <v>6177</v>
      </c>
      <c r="C299" s="619" t="s">
        <v>5253</v>
      </c>
      <c r="D299" s="620" t="s">
        <v>5449</v>
      </c>
      <c r="E299" s="620" t="s">
        <v>5975</v>
      </c>
      <c r="F299" s="621" t="s">
        <v>4652</v>
      </c>
      <c r="G299" s="620" t="s">
        <v>6354</v>
      </c>
      <c r="H299" s="641" t="s">
        <v>1376</v>
      </c>
      <c r="I299" s="641" t="s">
        <v>2</v>
      </c>
      <c r="J299" s="641" t="s">
        <v>5190</v>
      </c>
      <c r="K299" s="641" t="s">
        <v>1325</v>
      </c>
    </row>
    <row r="300" spans="1:11">
      <c r="A300" s="614" t="s">
        <v>4655</v>
      </c>
      <c r="B300" s="614" t="s">
        <v>6177</v>
      </c>
      <c r="C300" s="619" t="s">
        <v>5253</v>
      </c>
      <c r="D300" s="620" t="s">
        <v>5451</v>
      </c>
      <c r="E300" s="620" t="s">
        <v>5980</v>
      </c>
      <c r="F300" s="621" t="s">
        <v>4656</v>
      </c>
      <c r="G300" s="620"/>
      <c r="H300" s="641" t="s">
        <v>1376</v>
      </c>
      <c r="I300" s="641" t="s">
        <v>2</v>
      </c>
      <c r="J300" s="641" t="s">
        <v>5190</v>
      </c>
      <c r="K300" s="641" t="s">
        <v>1325</v>
      </c>
    </row>
    <row r="301" spans="1:11">
      <c r="A301" s="614" t="s">
        <v>4696</v>
      </c>
      <c r="B301" s="614" t="s">
        <v>6177</v>
      </c>
      <c r="C301" s="619" t="s">
        <v>5253</v>
      </c>
      <c r="D301" s="620" t="s">
        <v>5452</v>
      </c>
      <c r="E301" s="620" t="s">
        <v>5969</v>
      </c>
      <c r="F301" s="621" t="s">
        <v>4697</v>
      </c>
      <c r="G301" s="620"/>
      <c r="H301" s="641" t="s">
        <v>1376</v>
      </c>
      <c r="I301" s="641" t="s">
        <v>2</v>
      </c>
      <c r="J301" s="641" t="s">
        <v>5190</v>
      </c>
      <c r="K301" s="641" t="s">
        <v>1325</v>
      </c>
    </row>
    <row r="302" spans="1:11">
      <c r="A302" s="614" t="s">
        <v>6355</v>
      </c>
      <c r="B302" s="614" t="s">
        <v>6177</v>
      </c>
      <c r="C302" s="624" t="s">
        <v>5254</v>
      </c>
      <c r="D302" s="625" t="s">
        <v>5269</v>
      </c>
      <c r="E302" s="625" t="s">
        <v>5793</v>
      </c>
      <c r="F302" s="625" t="s">
        <v>4784</v>
      </c>
      <c r="G302" s="626"/>
      <c r="H302" s="641" t="s">
        <v>1376</v>
      </c>
      <c r="I302" s="641" t="s">
        <v>2</v>
      </c>
      <c r="J302" s="641" t="s">
        <v>5190</v>
      </c>
      <c r="K302" s="641" t="s">
        <v>6353</v>
      </c>
    </row>
    <row r="303" spans="1:11">
      <c r="A303" s="614" t="s">
        <v>5057</v>
      </c>
      <c r="B303" s="614" t="s">
        <v>6177</v>
      </c>
      <c r="C303" s="627" t="s">
        <v>5194</v>
      </c>
      <c r="D303" s="628" t="s">
        <v>6356</v>
      </c>
      <c r="E303" s="633" t="s">
        <v>5628</v>
      </c>
      <c r="F303" s="628" t="s">
        <v>5058</v>
      </c>
      <c r="G303" s="633"/>
      <c r="H303" s="641" t="s">
        <v>6357</v>
      </c>
      <c r="I303" s="641" t="s">
        <v>5150</v>
      </c>
      <c r="J303" s="641" t="s">
        <v>5149</v>
      </c>
      <c r="K303" s="641" t="s">
        <v>6358</v>
      </c>
    </row>
    <row r="304" spans="1:11">
      <c r="A304" s="614" t="s">
        <v>5045</v>
      </c>
      <c r="B304" s="614" t="s">
        <v>6177</v>
      </c>
      <c r="C304" s="619" t="s">
        <v>5253</v>
      </c>
      <c r="D304" s="620" t="s">
        <v>5454</v>
      </c>
      <c r="E304" s="620" t="s">
        <v>5797</v>
      </c>
      <c r="F304" s="621" t="s">
        <v>5046</v>
      </c>
      <c r="G304" s="620"/>
      <c r="H304" s="641" t="s">
        <v>6357</v>
      </c>
      <c r="I304" s="641" t="s">
        <v>6359</v>
      </c>
      <c r="J304" s="641" t="s">
        <v>5149</v>
      </c>
      <c r="K304" s="641" t="s">
        <v>6358</v>
      </c>
    </row>
    <row r="305" spans="1:11">
      <c r="A305" s="614" t="s">
        <v>5041</v>
      </c>
      <c r="B305" s="614" t="s">
        <v>6177</v>
      </c>
      <c r="C305" s="619" t="s">
        <v>5253</v>
      </c>
      <c r="D305" s="620" t="s">
        <v>5456</v>
      </c>
      <c r="E305" s="620" t="s">
        <v>5799</v>
      </c>
      <c r="F305" s="621" t="s">
        <v>5042</v>
      </c>
      <c r="G305" s="620"/>
      <c r="H305" s="641" t="s">
        <v>1376</v>
      </c>
      <c r="I305" s="641" t="s">
        <v>5150</v>
      </c>
      <c r="J305" s="641" t="s">
        <v>5149</v>
      </c>
      <c r="K305" s="641" t="s">
        <v>5129</v>
      </c>
    </row>
    <row r="306" spans="1:11">
      <c r="A306" s="614" t="s">
        <v>5043</v>
      </c>
      <c r="B306" s="614" t="s">
        <v>6177</v>
      </c>
      <c r="C306" s="619" t="s">
        <v>5253</v>
      </c>
      <c r="D306" s="620" t="s">
        <v>5455</v>
      </c>
      <c r="E306" s="620" t="s">
        <v>5800</v>
      </c>
      <c r="F306" s="621" t="s">
        <v>5044</v>
      </c>
      <c r="G306" s="620"/>
      <c r="H306" s="641" t="s">
        <v>1376</v>
      </c>
      <c r="I306" s="641" t="s">
        <v>5150</v>
      </c>
      <c r="J306" s="641" t="s">
        <v>5149</v>
      </c>
      <c r="K306" s="641" t="s">
        <v>5129</v>
      </c>
    </row>
    <row r="307" spans="1:11">
      <c r="A307" s="614" t="s">
        <v>5047</v>
      </c>
      <c r="B307" s="614" t="s">
        <v>6177</v>
      </c>
      <c r="C307" s="619" t="s">
        <v>5253</v>
      </c>
      <c r="D307" s="620" t="s">
        <v>5429</v>
      </c>
      <c r="E307" s="620" t="s">
        <v>5798</v>
      </c>
      <c r="F307" s="621" t="s">
        <v>5048</v>
      </c>
      <c r="G307" s="620"/>
      <c r="H307" s="641" t="s">
        <v>1376</v>
      </c>
      <c r="I307" s="641" t="s">
        <v>5150</v>
      </c>
      <c r="J307" s="641" t="s">
        <v>5149</v>
      </c>
      <c r="K307" s="641" t="s">
        <v>5129</v>
      </c>
    </row>
    <row r="308" spans="1:11">
      <c r="A308" s="614" t="s">
        <v>5017</v>
      </c>
      <c r="B308" s="614" t="s">
        <v>6177</v>
      </c>
      <c r="C308" s="615" t="s">
        <v>5193</v>
      </c>
      <c r="D308" s="616" t="s">
        <v>5566</v>
      </c>
      <c r="E308" s="616" t="s">
        <v>5749</v>
      </c>
      <c r="F308" s="617" t="s">
        <v>5018</v>
      </c>
      <c r="G308" s="616"/>
      <c r="H308" s="643" t="s">
        <v>96</v>
      </c>
      <c r="I308" s="643" t="s">
        <v>523</v>
      </c>
      <c r="J308" s="643" t="s">
        <v>4756</v>
      </c>
      <c r="K308" s="643" t="s">
        <v>1338</v>
      </c>
    </row>
    <row r="309" spans="1:11">
      <c r="A309" s="614" t="s">
        <v>4853</v>
      </c>
      <c r="B309" s="614" t="s">
        <v>6177</v>
      </c>
      <c r="C309" s="615" t="s">
        <v>5193</v>
      </c>
      <c r="D309" s="616" t="s">
        <v>5565</v>
      </c>
      <c r="E309" s="616" t="s">
        <v>5755</v>
      </c>
      <c r="F309" s="617" t="s">
        <v>4854</v>
      </c>
      <c r="G309" s="616"/>
      <c r="H309" s="643" t="s">
        <v>96</v>
      </c>
      <c r="I309" s="643" t="s">
        <v>523</v>
      </c>
      <c r="J309" s="643" t="s">
        <v>4756</v>
      </c>
      <c r="K309" s="643" t="s">
        <v>6360</v>
      </c>
    </row>
    <row r="310" spans="1:11">
      <c r="A310" s="614" t="s">
        <v>4847</v>
      </c>
      <c r="B310" s="614" t="s">
        <v>6177</v>
      </c>
      <c r="C310" s="615" t="s">
        <v>5193</v>
      </c>
      <c r="D310" s="616" t="s">
        <v>5567</v>
      </c>
      <c r="E310" s="616" t="s">
        <v>5753</v>
      </c>
      <c r="F310" s="617" t="s">
        <v>4848</v>
      </c>
      <c r="G310" s="616"/>
      <c r="H310" s="643" t="s">
        <v>96</v>
      </c>
      <c r="I310" s="643" t="s">
        <v>523</v>
      </c>
      <c r="J310" s="643" t="s">
        <v>4756</v>
      </c>
      <c r="K310" s="643" t="s">
        <v>1338</v>
      </c>
    </row>
    <row r="311" spans="1:11">
      <c r="A311" s="614" t="s">
        <v>4849</v>
      </c>
      <c r="B311" s="614" t="s">
        <v>6177</v>
      </c>
      <c r="C311" s="615" t="s">
        <v>5193</v>
      </c>
      <c r="D311" s="616" t="s">
        <v>5564</v>
      </c>
      <c r="E311" s="616" t="s">
        <v>5747</v>
      </c>
      <c r="F311" s="617" t="s">
        <v>4850</v>
      </c>
      <c r="G311" s="616"/>
      <c r="H311" s="643" t="s">
        <v>96</v>
      </c>
      <c r="I311" s="643" t="s">
        <v>523</v>
      </c>
      <c r="J311" s="643" t="s">
        <v>4756</v>
      </c>
      <c r="K311" s="643" t="s">
        <v>6360</v>
      </c>
    </row>
    <row r="312" spans="1:11">
      <c r="A312" s="614" t="s">
        <v>4874</v>
      </c>
      <c r="B312" s="614" t="s">
        <v>6177</v>
      </c>
      <c r="C312" s="619" t="s">
        <v>5253</v>
      </c>
      <c r="D312" s="620" t="s">
        <v>5458</v>
      </c>
      <c r="E312" s="620" t="s">
        <v>6012</v>
      </c>
      <c r="F312" s="621" t="s">
        <v>4875</v>
      </c>
      <c r="G312" s="620"/>
      <c r="H312" s="643" t="s">
        <v>96</v>
      </c>
      <c r="I312" s="643" t="s">
        <v>523</v>
      </c>
      <c r="J312" s="643" t="s">
        <v>4756</v>
      </c>
      <c r="K312" s="643" t="s">
        <v>1338</v>
      </c>
    </row>
    <row r="313" spans="1:11">
      <c r="A313" s="614" t="s">
        <v>4870</v>
      </c>
      <c r="B313" s="614" t="s">
        <v>6177</v>
      </c>
      <c r="C313" s="619" t="s">
        <v>5253</v>
      </c>
      <c r="D313" s="620" t="s">
        <v>5457</v>
      </c>
      <c r="E313" s="620" t="s">
        <v>6008</v>
      </c>
      <c r="F313" s="621" t="s">
        <v>4871</v>
      </c>
      <c r="G313" s="620"/>
      <c r="H313" s="643" t="s">
        <v>96</v>
      </c>
      <c r="I313" s="643" t="s">
        <v>523</v>
      </c>
      <c r="J313" s="643" t="s">
        <v>4756</v>
      </c>
      <c r="K313" s="643" t="s">
        <v>1338</v>
      </c>
    </row>
    <row r="314" spans="1:11">
      <c r="A314" s="614" t="s">
        <v>4872</v>
      </c>
      <c r="B314" s="614" t="s">
        <v>6177</v>
      </c>
      <c r="C314" s="619" t="s">
        <v>5253</v>
      </c>
      <c r="D314" s="620" t="s">
        <v>5459</v>
      </c>
      <c r="E314" s="620" t="s">
        <v>6013</v>
      </c>
      <c r="F314" s="621" t="s">
        <v>4873</v>
      </c>
      <c r="G314" s="620"/>
      <c r="H314" s="643" t="s">
        <v>96</v>
      </c>
      <c r="I314" s="643" t="s">
        <v>523</v>
      </c>
      <c r="J314" s="643" t="s">
        <v>4756</v>
      </c>
      <c r="K314" s="643" t="s">
        <v>1338</v>
      </c>
    </row>
    <row r="315" spans="1:11">
      <c r="A315" s="614" t="s">
        <v>4754</v>
      </c>
      <c r="B315" s="614" t="s">
        <v>6177</v>
      </c>
      <c r="C315" s="624" t="s">
        <v>5254</v>
      </c>
      <c r="D315" s="625" t="s">
        <v>5270</v>
      </c>
      <c r="E315" s="625" t="s">
        <v>5794</v>
      </c>
      <c r="F315" s="625" t="s">
        <v>4755</v>
      </c>
      <c r="G315" s="626"/>
      <c r="H315" s="643" t="s">
        <v>96</v>
      </c>
      <c r="I315" s="643" t="s">
        <v>523</v>
      </c>
      <c r="J315" s="643" t="s">
        <v>4756</v>
      </c>
      <c r="K315" s="643" t="s">
        <v>1338</v>
      </c>
    </row>
    <row r="316" spans="1:11">
      <c r="A316" s="614" t="s">
        <v>4859</v>
      </c>
      <c r="B316" s="614" t="s">
        <v>6177</v>
      </c>
      <c r="C316" s="615" t="s">
        <v>5193</v>
      </c>
      <c r="D316" s="616" t="s">
        <v>5570</v>
      </c>
      <c r="E316" s="616" t="s">
        <v>5756</v>
      </c>
      <c r="F316" s="617" t="s">
        <v>4860</v>
      </c>
      <c r="G316" s="616"/>
      <c r="H316" s="643" t="s">
        <v>96</v>
      </c>
      <c r="I316" s="643" t="s">
        <v>1336</v>
      </c>
      <c r="J316" s="643" t="s">
        <v>4759</v>
      </c>
      <c r="K316" s="643" t="s">
        <v>1337</v>
      </c>
    </row>
    <row r="317" spans="1:11">
      <c r="A317" s="614" t="s">
        <v>4851</v>
      </c>
      <c r="B317" s="614" t="s">
        <v>6177</v>
      </c>
      <c r="C317" s="615" t="s">
        <v>5193</v>
      </c>
      <c r="D317" s="616" t="s">
        <v>5569</v>
      </c>
      <c r="E317" s="616" t="s">
        <v>5751</v>
      </c>
      <c r="F317" s="617" t="s">
        <v>4852</v>
      </c>
      <c r="G317" s="616"/>
      <c r="H317" s="643" t="s">
        <v>96</v>
      </c>
      <c r="I317" s="643" t="s">
        <v>1336</v>
      </c>
      <c r="J317" s="643" t="s">
        <v>4759</v>
      </c>
      <c r="K317" s="643" t="s">
        <v>6361</v>
      </c>
    </row>
    <row r="318" spans="1:11">
      <c r="A318" s="614" t="s">
        <v>4757</v>
      </c>
      <c r="B318" s="614" t="s">
        <v>6177</v>
      </c>
      <c r="C318" s="615" t="s">
        <v>5193</v>
      </c>
      <c r="D318" s="616" t="s">
        <v>5568</v>
      </c>
      <c r="E318" s="616" t="s">
        <v>5748</v>
      </c>
      <c r="F318" s="617" t="s">
        <v>4758</v>
      </c>
      <c r="G318" s="616"/>
      <c r="H318" s="643" t="s">
        <v>96</v>
      </c>
      <c r="I318" s="643" t="s">
        <v>1336</v>
      </c>
      <c r="J318" s="643" t="s">
        <v>4759</v>
      </c>
      <c r="K318" s="643" t="s">
        <v>6361</v>
      </c>
    </row>
    <row r="319" spans="1:11">
      <c r="A319" s="614" t="s">
        <v>4855</v>
      </c>
      <c r="B319" s="614" t="s">
        <v>6177</v>
      </c>
      <c r="C319" s="615" t="s">
        <v>5193</v>
      </c>
      <c r="D319" s="616" t="s">
        <v>5571</v>
      </c>
      <c r="E319" s="616" t="s">
        <v>5750</v>
      </c>
      <c r="F319" s="617" t="s">
        <v>4856</v>
      </c>
      <c r="G319" s="616"/>
      <c r="H319" s="643" t="s">
        <v>96</v>
      </c>
      <c r="I319" s="643" t="s">
        <v>1336</v>
      </c>
      <c r="J319" s="643" t="s">
        <v>4759</v>
      </c>
      <c r="K319" s="643" t="s">
        <v>1337</v>
      </c>
    </row>
    <row r="320" spans="1:11">
      <c r="A320" s="614" t="s">
        <v>4857</v>
      </c>
      <c r="B320" s="614" t="s">
        <v>6177</v>
      </c>
      <c r="C320" s="615" t="s">
        <v>5193</v>
      </c>
      <c r="D320" s="616" t="s">
        <v>5572</v>
      </c>
      <c r="E320" s="616" t="s">
        <v>5754</v>
      </c>
      <c r="F320" s="617" t="s">
        <v>4858</v>
      </c>
      <c r="G320" s="616"/>
      <c r="H320" s="643" t="s">
        <v>96</v>
      </c>
      <c r="I320" s="643" t="s">
        <v>1336</v>
      </c>
      <c r="J320" s="643" t="s">
        <v>4759</v>
      </c>
      <c r="K320" s="643" t="s">
        <v>1337</v>
      </c>
    </row>
    <row r="321" spans="1:11">
      <c r="A321" s="614" t="s">
        <v>5033</v>
      </c>
      <c r="B321" s="614" t="s">
        <v>6177</v>
      </c>
      <c r="C321" s="615" t="s">
        <v>5193</v>
      </c>
      <c r="D321" s="616" t="s">
        <v>5573</v>
      </c>
      <c r="E321" s="616" t="s">
        <v>5752</v>
      </c>
      <c r="F321" s="617" t="s">
        <v>5034</v>
      </c>
      <c r="G321" s="616"/>
      <c r="H321" s="643" t="s">
        <v>96</v>
      </c>
      <c r="I321" s="643" t="s">
        <v>1336</v>
      </c>
      <c r="J321" s="643" t="s">
        <v>4759</v>
      </c>
      <c r="K321" s="643" t="s">
        <v>1337</v>
      </c>
    </row>
    <row r="322" spans="1:11">
      <c r="A322" s="614" t="s">
        <v>4866</v>
      </c>
      <c r="B322" s="614" t="s">
        <v>6177</v>
      </c>
      <c r="C322" s="619" t="s">
        <v>5253</v>
      </c>
      <c r="D322" s="620" t="s">
        <v>5462</v>
      </c>
      <c r="E322" s="620" t="s">
        <v>6011</v>
      </c>
      <c r="F322" s="621" t="s">
        <v>4867</v>
      </c>
      <c r="G322" s="620"/>
      <c r="H322" s="643" t="s">
        <v>96</v>
      </c>
      <c r="I322" s="643" t="s">
        <v>1336</v>
      </c>
      <c r="J322" s="643" t="s">
        <v>4759</v>
      </c>
      <c r="K322" s="643" t="s">
        <v>1337</v>
      </c>
    </row>
    <row r="323" spans="1:11">
      <c r="A323" s="614" t="s">
        <v>4864</v>
      </c>
      <c r="B323" s="614" t="s">
        <v>6177</v>
      </c>
      <c r="C323" s="619" t="s">
        <v>5253</v>
      </c>
      <c r="D323" s="620" t="s">
        <v>5460</v>
      </c>
      <c r="E323" s="620" t="s">
        <v>6009</v>
      </c>
      <c r="F323" s="621" t="s">
        <v>4865</v>
      </c>
      <c r="G323" s="620"/>
      <c r="H323" s="643" t="s">
        <v>96</v>
      </c>
      <c r="I323" s="643" t="s">
        <v>1336</v>
      </c>
      <c r="J323" s="643" t="s">
        <v>4759</v>
      </c>
      <c r="K323" s="643" t="s">
        <v>1337</v>
      </c>
    </row>
    <row r="324" spans="1:11">
      <c r="A324" s="614" t="s">
        <v>4868</v>
      </c>
      <c r="B324" s="614" t="s">
        <v>6177</v>
      </c>
      <c r="C324" s="619" t="s">
        <v>5253</v>
      </c>
      <c r="D324" s="620" t="s">
        <v>5461</v>
      </c>
      <c r="E324" s="620" t="s">
        <v>6010</v>
      </c>
      <c r="F324" s="621" t="s">
        <v>4869</v>
      </c>
      <c r="G324" s="620"/>
      <c r="H324" s="643" t="s">
        <v>96</v>
      </c>
      <c r="I324" s="643" t="s">
        <v>1336</v>
      </c>
      <c r="J324" s="643" t="s">
        <v>4759</v>
      </c>
      <c r="K324" s="643" t="s">
        <v>1337</v>
      </c>
    </row>
    <row r="325" spans="1:11">
      <c r="A325" s="614" t="s">
        <v>5102</v>
      </c>
      <c r="B325" s="614" t="s">
        <v>6177</v>
      </c>
      <c r="C325" s="629" t="s">
        <v>5255</v>
      </c>
      <c r="D325" s="630" t="s">
        <v>6362</v>
      </c>
      <c r="E325" s="630" t="s">
        <v>5669</v>
      </c>
      <c r="F325" s="630" t="s">
        <v>5103</v>
      </c>
      <c r="G325" s="630" t="s">
        <v>6362</v>
      </c>
      <c r="H325" s="643" t="s">
        <v>96</v>
      </c>
      <c r="I325" s="643" t="s">
        <v>568</v>
      </c>
      <c r="J325" s="643" t="s">
        <v>1598</v>
      </c>
      <c r="K325" s="643" t="s">
        <v>6363</v>
      </c>
    </row>
    <row r="326" spans="1:11">
      <c r="A326" s="614" t="s">
        <v>4714</v>
      </c>
      <c r="B326" s="614" t="s">
        <v>6177</v>
      </c>
      <c r="C326" s="615" t="s">
        <v>5193</v>
      </c>
      <c r="D326" s="616" t="s">
        <v>5574</v>
      </c>
      <c r="E326" s="616" t="s">
        <v>5732</v>
      </c>
      <c r="F326" s="617" t="s">
        <v>4715</v>
      </c>
      <c r="G326" s="616"/>
      <c r="H326" s="643" t="s">
        <v>96</v>
      </c>
      <c r="I326" s="643" t="s">
        <v>568</v>
      </c>
      <c r="J326" s="643" t="s">
        <v>1598</v>
      </c>
      <c r="K326" s="643" t="s">
        <v>6363</v>
      </c>
    </row>
    <row r="327" spans="1:11">
      <c r="A327" s="614" t="s">
        <v>4712</v>
      </c>
      <c r="B327" s="614" t="s">
        <v>6177</v>
      </c>
      <c r="C327" s="615" t="s">
        <v>5193</v>
      </c>
      <c r="D327" s="616" t="s">
        <v>5576</v>
      </c>
      <c r="E327" s="616" t="s">
        <v>5734</v>
      </c>
      <c r="F327" s="617" t="s">
        <v>4713</v>
      </c>
      <c r="G327" s="616"/>
      <c r="H327" s="643" t="s">
        <v>96</v>
      </c>
      <c r="I327" s="643" t="s">
        <v>568</v>
      </c>
      <c r="J327" s="643" t="s">
        <v>1598</v>
      </c>
      <c r="K327" s="643" t="s">
        <v>6363</v>
      </c>
    </row>
    <row r="328" spans="1:11">
      <c r="A328" s="614" t="s">
        <v>4706</v>
      </c>
      <c r="B328" s="614" t="s">
        <v>6177</v>
      </c>
      <c r="C328" s="615" t="s">
        <v>5193</v>
      </c>
      <c r="D328" s="616" t="s">
        <v>5575</v>
      </c>
      <c r="E328" s="616" t="s">
        <v>5733</v>
      </c>
      <c r="F328" s="617" t="s">
        <v>4707</v>
      </c>
      <c r="G328" s="616"/>
      <c r="H328" s="643" t="s">
        <v>96</v>
      </c>
      <c r="I328" s="643" t="s">
        <v>568</v>
      </c>
      <c r="J328" s="643" t="s">
        <v>1598</v>
      </c>
      <c r="K328" s="643" t="s">
        <v>6363</v>
      </c>
    </row>
    <row r="329" spans="1:11">
      <c r="A329" s="614" t="s">
        <v>4708</v>
      </c>
      <c r="B329" s="614" t="s">
        <v>6177</v>
      </c>
      <c r="C329" s="615" t="s">
        <v>5193</v>
      </c>
      <c r="D329" s="616" t="s">
        <v>5578</v>
      </c>
      <c r="E329" s="616" t="s">
        <v>5736</v>
      </c>
      <c r="F329" s="617" t="s">
        <v>4709</v>
      </c>
      <c r="G329" s="616"/>
      <c r="H329" s="643" t="s">
        <v>96</v>
      </c>
      <c r="I329" s="643" t="s">
        <v>568</v>
      </c>
      <c r="J329" s="643" t="s">
        <v>1598</v>
      </c>
      <c r="K329" s="643" t="s">
        <v>6363</v>
      </c>
    </row>
    <row r="330" spans="1:11">
      <c r="A330" s="614" t="s">
        <v>4710</v>
      </c>
      <c r="B330" s="614" t="s">
        <v>6177</v>
      </c>
      <c r="C330" s="615" t="s">
        <v>5193</v>
      </c>
      <c r="D330" s="616" t="s">
        <v>5577</v>
      </c>
      <c r="E330" s="616" t="s">
        <v>5735</v>
      </c>
      <c r="F330" s="617" t="s">
        <v>4711</v>
      </c>
      <c r="G330" s="616"/>
      <c r="H330" s="643" t="s">
        <v>96</v>
      </c>
      <c r="I330" s="643" t="s">
        <v>568</v>
      </c>
      <c r="J330" s="643" t="s">
        <v>1598</v>
      </c>
      <c r="K330" s="643" t="s">
        <v>6363</v>
      </c>
    </row>
    <row r="331" spans="1:11">
      <c r="A331" s="614" t="s">
        <v>4716</v>
      </c>
      <c r="B331" s="614" t="s">
        <v>6177</v>
      </c>
      <c r="C331" s="619" t="s">
        <v>5253</v>
      </c>
      <c r="D331" s="620" t="s">
        <v>5463</v>
      </c>
      <c r="E331" s="620" t="s">
        <v>5990</v>
      </c>
      <c r="F331" s="621" t="s">
        <v>4717</v>
      </c>
      <c r="G331" s="620"/>
      <c r="H331" s="643" t="s">
        <v>96</v>
      </c>
      <c r="I331" s="643" t="s">
        <v>568</v>
      </c>
      <c r="J331" s="643" t="s">
        <v>1598</v>
      </c>
      <c r="K331" s="643" t="s">
        <v>6363</v>
      </c>
    </row>
    <row r="332" spans="1:11">
      <c r="A332" s="614" t="s">
        <v>4817</v>
      </c>
      <c r="B332" s="614" t="s">
        <v>6177</v>
      </c>
      <c r="C332" s="619" t="s">
        <v>5253</v>
      </c>
      <c r="D332" s="620" t="s">
        <v>5464</v>
      </c>
      <c r="E332" s="620" t="s">
        <v>5991</v>
      </c>
      <c r="F332" s="621" t="s">
        <v>4818</v>
      </c>
      <c r="G332" s="620"/>
      <c r="H332" s="643" t="s">
        <v>96</v>
      </c>
      <c r="I332" s="643" t="s">
        <v>568</v>
      </c>
      <c r="J332" s="643" t="s">
        <v>1598</v>
      </c>
      <c r="K332" s="643" t="s">
        <v>6363</v>
      </c>
    </row>
    <row r="333" spans="1:11">
      <c r="A333" s="614" t="s">
        <v>4819</v>
      </c>
      <c r="B333" s="614" t="s">
        <v>6177</v>
      </c>
      <c r="C333" s="619" t="s">
        <v>5253</v>
      </c>
      <c r="D333" s="620" t="s">
        <v>5465</v>
      </c>
      <c r="E333" s="620" t="s">
        <v>5992</v>
      </c>
      <c r="F333" s="621" t="s">
        <v>4820</v>
      </c>
      <c r="G333" s="620"/>
      <c r="H333" s="643" t="s">
        <v>96</v>
      </c>
      <c r="I333" s="643" t="s">
        <v>568</v>
      </c>
      <c r="J333" s="643" t="s">
        <v>1598</v>
      </c>
      <c r="K333" s="643" t="s">
        <v>6363</v>
      </c>
    </row>
    <row r="334" spans="1:11">
      <c r="A334" s="614" t="s">
        <v>4821</v>
      </c>
      <c r="B334" s="614" t="s">
        <v>6177</v>
      </c>
      <c r="C334" s="619" t="s">
        <v>5253</v>
      </c>
      <c r="D334" s="620" t="s">
        <v>5466</v>
      </c>
      <c r="E334" s="620" t="s">
        <v>5993</v>
      </c>
      <c r="F334" s="621" t="s">
        <v>4822</v>
      </c>
      <c r="G334" s="620"/>
      <c r="H334" s="643" t="s">
        <v>96</v>
      </c>
      <c r="I334" s="643" t="s">
        <v>568</v>
      </c>
      <c r="J334" s="643" t="s">
        <v>1598</v>
      </c>
      <c r="K334" s="643" t="s">
        <v>6363</v>
      </c>
    </row>
    <row r="335" spans="1:11">
      <c r="A335" s="614" t="s">
        <v>4747</v>
      </c>
      <c r="B335" s="614" t="s">
        <v>6177</v>
      </c>
      <c r="C335" s="615" t="s">
        <v>5193</v>
      </c>
      <c r="D335" s="616" t="s">
        <v>5580</v>
      </c>
      <c r="E335" s="616" t="s">
        <v>6364</v>
      </c>
      <c r="F335" s="617" t="s">
        <v>4748</v>
      </c>
      <c r="G335" s="616"/>
      <c r="H335" s="643" t="s">
        <v>96</v>
      </c>
      <c r="I335" s="643" t="s">
        <v>1355</v>
      </c>
      <c r="J335" s="643" t="s">
        <v>4746</v>
      </c>
      <c r="K335" s="643" t="s">
        <v>6365</v>
      </c>
    </row>
    <row r="336" spans="1:11">
      <c r="A336" s="614" t="s">
        <v>4806</v>
      </c>
      <c r="B336" s="614" t="s">
        <v>6177</v>
      </c>
      <c r="C336" s="619" t="s">
        <v>5253</v>
      </c>
      <c r="D336" s="620" t="s">
        <v>5467</v>
      </c>
      <c r="E336" s="620" t="s">
        <v>6017</v>
      </c>
      <c r="F336" s="621" t="s">
        <v>4807</v>
      </c>
      <c r="G336" s="620"/>
      <c r="H336" s="643" t="s">
        <v>96</v>
      </c>
      <c r="I336" s="643" t="s">
        <v>1355</v>
      </c>
      <c r="J336" s="643" t="s">
        <v>4746</v>
      </c>
      <c r="K336" s="643" t="s">
        <v>6365</v>
      </c>
    </row>
    <row r="337" spans="1:11">
      <c r="A337" s="614" t="s">
        <v>4808</v>
      </c>
      <c r="B337" s="614" t="s">
        <v>6177</v>
      </c>
      <c r="C337" s="619" t="s">
        <v>5253</v>
      </c>
      <c r="D337" s="620" t="s">
        <v>5468</v>
      </c>
      <c r="E337" s="620" t="s">
        <v>6018</v>
      </c>
      <c r="F337" s="621" t="s">
        <v>4809</v>
      </c>
      <c r="G337" s="620"/>
      <c r="H337" s="643" t="s">
        <v>96</v>
      </c>
      <c r="I337" s="643" t="s">
        <v>1355</v>
      </c>
      <c r="J337" s="643" t="s">
        <v>4746</v>
      </c>
      <c r="K337" s="643" t="s">
        <v>6365</v>
      </c>
    </row>
    <row r="338" spans="1:11">
      <c r="A338" s="614" t="s">
        <v>4804</v>
      </c>
      <c r="B338" s="614" t="s">
        <v>6177</v>
      </c>
      <c r="C338" s="619" t="s">
        <v>5253</v>
      </c>
      <c r="D338" s="620" t="s">
        <v>5469</v>
      </c>
      <c r="E338" s="620" t="s">
        <v>6019</v>
      </c>
      <c r="F338" s="621" t="s">
        <v>4805</v>
      </c>
      <c r="G338" s="620"/>
      <c r="H338" s="643" t="s">
        <v>96</v>
      </c>
      <c r="I338" s="643" t="s">
        <v>1355</v>
      </c>
      <c r="J338" s="643" t="s">
        <v>4746</v>
      </c>
      <c r="K338" s="643" t="s">
        <v>6365</v>
      </c>
    </row>
    <row r="339" spans="1:11">
      <c r="A339" s="614" t="s">
        <v>4802</v>
      </c>
      <c r="B339" s="614" t="s">
        <v>6177</v>
      </c>
      <c r="C339" s="619" t="s">
        <v>5253</v>
      </c>
      <c r="D339" s="620" t="s">
        <v>5470</v>
      </c>
      <c r="E339" s="620" t="s">
        <v>6020</v>
      </c>
      <c r="F339" s="621" t="s">
        <v>4803</v>
      </c>
      <c r="G339" s="620"/>
      <c r="H339" s="643" t="s">
        <v>96</v>
      </c>
      <c r="I339" s="643" t="s">
        <v>1355</v>
      </c>
      <c r="J339" s="643" t="s">
        <v>4746</v>
      </c>
      <c r="K339" s="643" t="s">
        <v>6365</v>
      </c>
    </row>
    <row r="340" spans="1:11">
      <c r="A340" s="614" t="s">
        <v>4751</v>
      </c>
      <c r="B340" s="614" t="s">
        <v>6177</v>
      </c>
      <c r="C340" s="624" t="s">
        <v>5254</v>
      </c>
      <c r="D340" s="625" t="s">
        <v>5271</v>
      </c>
      <c r="E340" s="625" t="s">
        <v>5795</v>
      </c>
      <c r="F340" s="625" t="s">
        <v>4752</v>
      </c>
      <c r="G340" s="626"/>
      <c r="H340" s="643" t="s">
        <v>96</v>
      </c>
      <c r="I340" s="643" t="s">
        <v>1355</v>
      </c>
      <c r="J340" s="643" t="s">
        <v>4746</v>
      </c>
      <c r="K340" s="643" t="s">
        <v>6365</v>
      </c>
    </row>
    <row r="341" spans="1:11">
      <c r="A341" s="614" t="s">
        <v>4980</v>
      </c>
      <c r="B341" s="614" t="s">
        <v>6177</v>
      </c>
      <c r="C341" s="627" t="s">
        <v>5194</v>
      </c>
      <c r="D341" s="628" t="s">
        <v>6367</v>
      </c>
      <c r="E341" s="633" t="s">
        <v>5654</v>
      </c>
      <c r="F341" s="628" t="s">
        <v>4981</v>
      </c>
      <c r="G341" s="633"/>
      <c r="H341" s="643" t="s">
        <v>6368</v>
      </c>
      <c r="I341" s="643" t="s">
        <v>1332</v>
      </c>
      <c r="J341" s="643" t="s">
        <v>4684</v>
      </c>
      <c r="K341" s="643" t="s">
        <v>6369</v>
      </c>
    </row>
    <row r="342" spans="1:11">
      <c r="A342" s="614" t="s">
        <v>4718</v>
      </c>
      <c r="B342" s="614" t="s">
        <v>6177</v>
      </c>
      <c r="C342" s="615" t="s">
        <v>5193</v>
      </c>
      <c r="D342" s="616" t="s">
        <v>5584</v>
      </c>
      <c r="E342" s="616" t="s">
        <v>5731</v>
      </c>
      <c r="F342" s="617" t="s">
        <v>4719</v>
      </c>
      <c r="G342" s="616"/>
      <c r="H342" s="643" t="s">
        <v>96</v>
      </c>
      <c r="I342" s="643" t="s">
        <v>1332</v>
      </c>
      <c r="J342" s="643" t="s">
        <v>4684</v>
      </c>
      <c r="K342" s="643" t="s">
        <v>6369</v>
      </c>
    </row>
    <row r="343" spans="1:11">
      <c r="A343" s="614" t="s">
        <v>4721</v>
      </c>
      <c r="B343" s="614" t="s">
        <v>6177</v>
      </c>
      <c r="C343" s="615" t="s">
        <v>5193</v>
      </c>
      <c r="D343" s="616" t="s">
        <v>5581</v>
      </c>
      <c r="E343" s="616" t="s">
        <v>5730</v>
      </c>
      <c r="F343" s="617" t="s">
        <v>4722</v>
      </c>
      <c r="G343" s="616"/>
      <c r="H343" s="643" t="s">
        <v>96</v>
      </c>
      <c r="I343" s="643" t="s">
        <v>1332</v>
      </c>
      <c r="J343" s="643" t="s">
        <v>4684</v>
      </c>
      <c r="K343" s="643" t="s">
        <v>6369</v>
      </c>
    </row>
    <row r="344" spans="1:11">
      <c r="A344" s="614" t="s">
        <v>4723</v>
      </c>
      <c r="B344" s="614" t="s">
        <v>6177</v>
      </c>
      <c r="C344" s="615" t="s">
        <v>5193</v>
      </c>
      <c r="D344" s="616" t="s">
        <v>5587</v>
      </c>
      <c r="E344" s="616" t="s">
        <v>5729</v>
      </c>
      <c r="F344" s="617" t="s">
        <v>4724</v>
      </c>
      <c r="G344" s="616"/>
      <c r="H344" s="643" t="s">
        <v>96</v>
      </c>
      <c r="I344" s="643" t="s">
        <v>1332</v>
      </c>
      <c r="J344" s="643" t="s">
        <v>4684</v>
      </c>
      <c r="K344" s="643" t="s">
        <v>6369</v>
      </c>
    </row>
    <row r="345" spans="1:11">
      <c r="A345" s="614" t="s">
        <v>4887</v>
      </c>
      <c r="B345" s="614" t="s">
        <v>6177</v>
      </c>
      <c r="C345" s="615" t="s">
        <v>5193</v>
      </c>
      <c r="D345" s="616" t="s">
        <v>5583</v>
      </c>
      <c r="E345" s="616" t="s">
        <v>5725</v>
      </c>
      <c r="F345" s="617" t="s">
        <v>4888</v>
      </c>
      <c r="G345" s="616"/>
      <c r="H345" s="643" t="s">
        <v>96</v>
      </c>
      <c r="I345" s="643" t="s">
        <v>1332</v>
      </c>
      <c r="J345" s="643" t="s">
        <v>4684</v>
      </c>
      <c r="K345" s="643" t="s">
        <v>6369</v>
      </c>
    </row>
    <row r="346" spans="1:11">
      <c r="A346" s="614" t="s">
        <v>5035</v>
      </c>
      <c r="B346" s="614" t="s">
        <v>6177</v>
      </c>
      <c r="C346" s="615" t="s">
        <v>5193</v>
      </c>
      <c r="D346" s="616" t="s">
        <v>5586</v>
      </c>
      <c r="E346" s="616" t="s">
        <v>5728</v>
      </c>
      <c r="F346" s="617" t="s">
        <v>5036</v>
      </c>
      <c r="G346" s="616"/>
      <c r="H346" s="643" t="s">
        <v>96</v>
      </c>
      <c r="I346" s="643" t="s">
        <v>1332</v>
      </c>
      <c r="J346" s="643" t="s">
        <v>4684</v>
      </c>
      <c r="K346" s="643" t="s">
        <v>6369</v>
      </c>
    </row>
    <row r="347" spans="1:11">
      <c r="A347" s="614" t="s">
        <v>5015</v>
      </c>
      <c r="B347" s="614" t="s">
        <v>6177</v>
      </c>
      <c r="C347" s="615" t="s">
        <v>5193</v>
      </c>
      <c r="D347" s="616" t="s">
        <v>5585</v>
      </c>
      <c r="E347" s="616" t="s">
        <v>5726</v>
      </c>
      <c r="F347" s="617" t="s">
        <v>5016</v>
      </c>
      <c r="G347" s="616"/>
      <c r="H347" s="643" t="s">
        <v>96</v>
      </c>
      <c r="I347" s="643" t="s">
        <v>1332</v>
      </c>
      <c r="J347" s="643" t="s">
        <v>4684</v>
      </c>
      <c r="K347" s="643" t="s">
        <v>6369</v>
      </c>
    </row>
    <row r="348" spans="1:11">
      <c r="A348" s="614" t="s">
        <v>4790</v>
      </c>
      <c r="B348" s="614" t="s">
        <v>6177</v>
      </c>
      <c r="C348" s="619" t="s">
        <v>5253</v>
      </c>
      <c r="D348" s="620" t="s">
        <v>5472</v>
      </c>
      <c r="E348" s="620" t="s">
        <v>5983</v>
      </c>
      <c r="F348" s="621" t="s">
        <v>4791</v>
      </c>
      <c r="G348" s="620"/>
      <c r="H348" s="643" t="s">
        <v>96</v>
      </c>
      <c r="I348" s="643" t="s">
        <v>1332</v>
      </c>
      <c r="J348" s="643" t="s">
        <v>4684</v>
      </c>
      <c r="K348" s="643" t="s">
        <v>6369</v>
      </c>
    </row>
    <row r="349" spans="1:11">
      <c r="A349" s="614" t="s">
        <v>4794</v>
      </c>
      <c r="B349" s="614" t="s">
        <v>6177</v>
      </c>
      <c r="C349" s="619" t="s">
        <v>5253</v>
      </c>
      <c r="D349" s="620" t="s">
        <v>5471</v>
      </c>
      <c r="E349" s="620" t="s">
        <v>5981</v>
      </c>
      <c r="F349" s="621" t="s">
        <v>4795</v>
      </c>
      <c r="G349" s="620"/>
      <c r="H349" s="643" t="s">
        <v>96</v>
      </c>
      <c r="I349" s="643" t="s">
        <v>1332</v>
      </c>
      <c r="J349" s="643" t="s">
        <v>4684</v>
      </c>
      <c r="K349" s="643" t="s">
        <v>6369</v>
      </c>
    </row>
    <row r="350" spans="1:11">
      <c r="A350" s="614" t="s">
        <v>4788</v>
      </c>
      <c r="B350" s="614" t="s">
        <v>6177</v>
      </c>
      <c r="C350" s="619" t="s">
        <v>5253</v>
      </c>
      <c r="D350" s="620" t="s">
        <v>5475</v>
      </c>
      <c r="E350" s="620" t="s">
        <v>5986</v>
      </c>
      <c r="F350" s="621" t="s">
        <v>4789</v>
      </c>
      <c r="G350" s="620"/>
      <c r="H350" s="643" t="s">
        <v>96</v>
      </c>
      <c r="I350" s="643" t="s">
        <v>1332</v>
      </c>
      <c r="J350" s="643" t="s">
        <v>4684</v>
      </c>
      <c r="K350" s="643" t="s">
        <v>6369</v>
      </c>
    </row>
    <row r="351" spans="1:11">
      <c r="A351" s="614" t="s">
        <v>4886</v>
      </c>
      <c r="B351" s="614" t="s">
        <v>6177</v>
      </c>
      <c r="C351" s="619" t="s">
        <v>5253</v>
      </c>
      <c r="D351" s="620" t="s">
        <v>5473</v>
      </c>
      <c r="E351" s="620" t="s">
        <v>5984</v>
      </c>
      <c r="F351" s="621" t="s">
        <v>6370</v>
      </c>
      <c r="G351" s="620"/>
      <c r="H351" s="643" t="s">
        <v>6368</v>
      </c>
      <c r="I351" s="643" t="s">
        <v>1332</v>
      </c>
      <c r="J351" s="643" t="s">
        <v>4684</v>
      </c>
      <c r="K351" s="643" t="s">
        <v>6369</v>
      </c>
    </row>
    <row r="352" spans="1:11">
      <c r="A352" s="614" t="s">
        <v>4796</v>
      </c>
      <c r="B352" s="614" t="s">
        <v>6177</v>
      </c>
      <c r="C352" s="619" t="s">
        <v>5253</v>
      </c>
      <c r="D352" s="620" t="s">
        <v>5478</v>
      </c>
      <c r="E352" s="620" t="s">
        <v>5988</v>
      </c>
      <c r="F352" s="621" t="s">
        <v>4797</v>
      </c>
      <c r="G352" s="620"/>
      <c r="H352" s="643" t="s">
        <v>96</v>
      </c>
      <c r="I352" s="643" t="s">
        <v>1332</v>
      </c>
      <c r="J352" s="643" t="s">
        <v>4684</v>
      </c>
      <c r="K352" s="643" t="s">
        <v>6369</v>
      </c>
    </row>
    <row r="353" spans="1:11">
      <c r="A353" s="614" t="s">
        <v>4792</v>
      </c>
      <c r="B353" s="614" t="s">
        <v>6177</v>
      </c>
      <c r="C353" s="619" t="s">
        <v>5253</v>
      </c>
      <c r="D353" s="620" t="s">
        <v>5477</v>
      </c>
      <c r="E353" s="620" t="s">
        <v>5987</v>
      </c>
      <c r="F353" s="621" t="s">
        <v>4793</v>
      </c>
      <c r="G353" s="620"/>
      <c r="H353" s="643" t="s">
        <v>96</v>
      </c>
      <c r="I353" s="643" t="s">
        <v>1332</v>
      </c>
      <c r="J353" s="643" t="s">
        <v>4684</v>
      </c>
      <c r="K353" s="643" t="s">
        <v>6369</v>
      </c>
    </row>
    <row r="354" spans="1:11">
      <c r="A354" s="614" t="s">
        <v>4682</v>
      </c>
      <c r="B354" s="614" t="s">
        <v>6177</v>
      </c>
      <c r="C354" s="619" t="s">
        <v>5253</v>
      </c>
      <c r="D354" s="620" t="s">
        <v>5479</v>
      </c>
      <c r="E354" s="620" t="s">
        <v>5989</v>
      </c>
      <c r="F354" s="621" t="s">
        <v>4683</v>
      </c>
      <c r="G354" s="620"/>
      <c r="H354" s="643" t="s">
        <v>96</v>
      </c>
      <c r="I354" s="643" t="s">
        <v>1332</v>
      </c>
      <c r="J354" s="643" t="s">
        <v>4684</v>
      </c>
      <c r="K354" s="643" t="s">
        <v>6369</v>
      </c>
    </row>
    <row r="355" spans="1:11">
      <c r="A355" s="614" t="s">
        <v>4863</v>
      </c>
      <c r="B355" s="614" t="s">
        <v>6177</v>
      </c>
      <c r="C355" s="615" t="s">
        <v>5193</v>
      </c>
      <c r="D355" s="616" t="s">
        <v>5588</v>
      </c>
      <c r="E355" s="616" t="s">
        <v>5757</v>
      </c>
      <c r="F355" s="617" t="s">
        <v>6371</v>
      </c>
      <c r="G355" s="616"/>
      <c r="H355" s="643" t="s">
        <v>96</v>
      </c>
      <c r="I355" s="643" t="s">
        <v>506</v>
      </c>
      <c r="J355" s="643" t="s">
        <v>4749</v>
      </c>
      <c r="K355" s="643" t="s">
        <v>6372</v>
      </c>
    </row>
    <row r="356" spans="1:11" s="631" customFormat="1" ht="14.5">
      <c r="A356" s="622" t="s">
        <v>6533</v>
      </c>
      <c r="B356" s="614" t="s">
        <v>6177</v>
      </c>
      <c r="C356" s="615" t="s">
        <v>5193</v>
      </c>
      <c r="D356" s="640" t="s">
        <v>6498</v>
      </c>
      <c r="E356" s="640" t="s">
        <v>6373</v>
      </c>
      <c r="F356" s="640" t="s">
        <v>6374</v>
      </c>
      <c r="G356" s="622"/>
      <c r="H356" s="643" t="s">
        <v>96</v>
      </c>
      <c r="I356" s="643" t="s">
        <v>506</v>
      </c>
      <c r="J356" s="643" t="s">
        <v>4749</v>
      </c>
      <c r="K356" s="643" t="s">
        <v>6372</v>
      </c>
    </row>
    <row r="357" spans="1:11">
      <c r="A357" s="614" t="s">
        <v>4800</v>
      </c>
      <c r="B357" s="614" t="s">
        <v>6177</v>
      </c>
      <c r="C357" s="619" t="s">
        <v>5253</v>
      </c>
      <c r="D357" s="620" t="s">
        <v>5481</v>
      </c>
      <c r="E357" s="620" t="s">
        <v>6015</v>
      </c>
      <c r="F357" s="621" t="s">
        <v>4801</v>
      </c>
      <c r="G357" s="620"/>
      <c r="H357" s="643" t="s">
        <v>96</v>
      </c>
      <c r="I357" s="643" t="s">
        <v>506</v>
      </c>
      <c r="J357" s="643" t="s">
        <v>4749</v>
      </c>
      <c r="K357" s="643" t="s">
        <v>6372</v>
      </c>
    </row>
    <row r="358" spans="1:11">
      <c r="A358" s="614" t="s">
        <v>4798</v>
      </c>
      <c r="B358" s="614" t="s">
        <v>6177</v>
      </c>
      <c r="C358" s="619" t="s">
        <v>5253</v>
      </c>
      <c r="D358" s="620" t="s">
        <v>5482</v>
      </c>
      <c r="E358" s="620" t="s">
        <v>6016</v>
      </c>
      <c r="F358" s="621" t="s">
        <v>4799</v>
      </c>
      <c r="G358" s="620"/>
      <c r="H358" s="643" t="s">
        <v>96</v>
      </c>
      <c r="I358" s="643" t="s">
        <v>506</v>
      </c>
      <c r="J358" s="643" t="s">
        <v>4749</v>
      </c>
      <c r="K358" s="643" t="s">
        <v>6372</v>
      </c>
    </row>
    <row r="359" spans="1:11">
      <c r="A359" s="614" t="s">
        <v>4982</v>
      </c>
      <c r="B359" s="614" t="s">
        <v>6177</v>
      </c>
      <c r="C359" s="627" t="s">
        <v>5194</v>
      </c>
      <c r="D359" s="628" t="s">
        <v>6375</v>
      </c>
      <c r="E359" s="633" t="s">
        <v>5655</v>
      </c>
      <c r="F359" s="628" t="s">
        <v>4983</v>
      </c>
      <c r="G359" s="633"/>
      <c r="H359" s="643" t="s">
        <v>96</v>
      </c>
      <c r="I359" s="643" t="s">
        <v>465</v>
      </c>
      <c r="J359" s="643" t="s">
        <v>4728</v>
      </c>
      <c r="K359" s="643" t="s">
        <v>6376</v>
      </c>
    </row>
    <row r="360" spans="1:11">
      <c r="A360" s="614" t="s">
        <v>4726</v>
      </c>
      <c r="B360" s="614" t="s">
        <v>6177</v>
      </c>
      <c r="C360" s="615" t="s">
        <v>5193</v>
      </c>
      <c r="D360" s="616" t="s">
        <v>5595</v>
      </c>
      <c r="E360" s="616" t="s">
        <v>5768</v>
      </c>
      <c r="F360" s="617" t="s">
        <v>4727</v>
      </c>
      <c r="G360" s="616"/>
      <c r="H360" s="643" t="s">
        <v>96</v>
      </c>
      <c r="I360" s="643" t="s">
        <v>465</v>
      </c>
      <c r="J360" s="643" t="s">
        <v>4728</v>
      </c>
      <c r="K360" s="643" t="s">
        <v>6376</v>
      </c>
    </row>
    <row r="361" spans="1:11">
      <c r="A361" s="614" t="s">
        <v>4734</v>
      </c>
      <c r="B361" s="614" t="s">
        <v>6177</v>
      </c>
      <c r="C361" s="615" t="s">
        <v>5193</v>
      </c>
      <c r="D361" s="616" t="s">
        <v>5603</v>
      </c>
      <c r="E361" s="616" t="s">
        <v>5772</v>
      </c>
      <c r="F361" s="617" t="s">
        <v>4735</v>
      </c>
      <c r="G361" s="616"/>
      <c r="H361" s="643" t="s">
        <v>96</v>
      </c>
      <c r="I361" s="643" t="s">
        <v>465</v>
      </c>
      <c r="J361" s="643" t="s">
        <v>4728</v>
      </c>
      <c r="K361" s="643" t="s">
        <v>6376</v>
      </c>
    </row>
    <row r="362" spans="1:11">
      <c r="A362" s="614" t="s">
        <v>4905</v>
      </c>
      <c r="B362" s="614" t="s">
        <v>6177</v>
      </c>
      <c r="C362" s="615" t="s">
        <v>5193</v>
      </c>
      <c r="D362" s="616" t="s">
        <v>5598</v>
      </c>
      <c r="E362" s="616" t="s">
        <v>5770</v>
      </c>
      <c r="F362" s="617" t="s">
        <v>4906</v>
      </c>
      <c r="G362" s="616"/>
      <c r="H362" s="643" t="s">
        <v>96</v>
      </c>
      <c r="I362" s="643" t="s">
        <v>465</v>
      </c>
      <c r="J362" s="643" t="s">
        <v>4728</v>
      </c>
      <c r="K362" s="643" t="s">
        <v>6376</v>
      </c>
    </row>
    <row r="363" spans="1:11">
      <c r="A363" s="614" t="s">
        <v>4913</v>
      </c>
      <c r="B363" s="614" t="s">
        <v>6177</v>
      </c>
      <c r="C363" s="615" t="s">
        <v>5193</v>
      </c>
      <c r="D363" s="616" t="s">
        <v>5591</v>
      </c>
      <c r="E363" s="616" t="s">
        <v>5762</v>
      </c>
      <c r="F363" s="617" t="s">
        <v>4914</v>
      </c>
      <c r="G363" s="616"/>
      <c r="H363" s="643" t="s">
        <v>96</v>
      </c>
      <c r="I363" s="643" t="s">
        <v>465</v>
      </c>
      <c r="J363" s="643" t="s">
        <v>4728</v>
      </c>
      <c r="K363" s="643" t="s">
        <v>6376</v>
      </c>
    </row>
    <row r="364" spans="1:11">
      <c r="A364" s="614" t="s">
        <v>4903</v>
      </c>
      <c r="B364" s="614" t="s">
        <v>6177</v>
      </c>
      <c r="C364" s="615" t="s">
        <v>5193</v>
      </c>
      <c r="D364" s="616" t="s">
        <v>5589</v>
      </c>
      <c r="E364" s="616" t="s">
        <v>5760</v>
      </c>
      <c r="F364" s="617" t="s">
        <v>4904</v>
      </c>
      <c r="G364" s="616"/>
      <c r="H364" s="643" t="s">
        <v>96</v>
      </c>
      <c r="I364" s="643" t="s">
        <v>465</v>
      </c>
      <c r="J364" s="643" t="s">
        <v>4728</v>
      </c>
      <c r="K364" s="643" t="s">
        <v>6376</v>
      </c>
    </row>
    <row r="365" spans="1:11">
      <c r="A365" s="614" t="s">
        <v>4909</v>
      </c>
      <c r="B365" s="614" t="s">
        <v>6177</v>
      </c>
      <c r="C365" s="615" t="s">
        <v>5193</v>
      </c>
      <c r="D365" s="616" t="s">
        <v>5594</v>
      </c>
      <c r="E365" s="616" t="s">
        <v>5764</v>
      </c>
      <c r="F365" s="617" t="s">
        <v>4910</v>
      </c>
      <c r="G365" s="616"/>
      <c r="H365" s="643" t="s">
        <v>96</v>
      </c>
      <c r="I365" s="643" t="s">
        <v>465</v>
      </c>
      <c r="J365" s="643" t="s">
        <v>4728</v>
      </c>
      <c r="K365" s="643" t="s">
        <v>6376</v>
      </c>
    </row>
    <row r="366" spans="1:11">
      <c r="A366" s="614" t="s">
        <v>5039</v>
      </c>
      <c r="B366" s="614" t="s">
        <v>6177</v>
      </c>
      <c r="C366" s="615" t="s">
        <v>5193</v>
      </c>
      <c r="D366" s="616" t="s">
        <v>5590</v>
      </c>
      <c r="E366" s="616" t="s">
        <v>5759</v>
      </c>
      <c r="F366" s="617" t="s">
        <v>5040</v>
      </c>
      <c r="G366" s="616" t="s">
        <v>6377</v>
      </c>
      <c r="H366" s="643" t="s">
        <v>96</v>
      </c>
      <c r="I366" s="643" t="s">
        <v>465</v>
      </c>
      <c r="J366" s="643" t="s">
        <v>4728</v>
      </c>
      <c r="K366" s="643" t="s">
        <v>6376</v>
      </c>
    </row>
    <row r="367" spans="1:11">
      <c r="A367" s="614" t="s">
        <v>4917</v>
      </c>
      <c r="B367" s="614" t="s">
        <v>6177</v>
      </c>
      <c r="C367" s="615" t="s">
        <v>5193</v>
      </c>
      <c r="D367" s="616" t="s">
        <v>5592</v>
      </c>
      <c r="E367" s="616" t="s">
        <v>5765</v>
      </c>
      <c r="F367" s="617" t="s">
        <v>4918</v>
      </c>
      <c r="G367" s="616"/>
      <c r="H367" s="643" t="s">
        <v>96</v>
      </c>
      <c r="I367" s="643" t="s">
        <v>465</v>
      </c>
      <c r="J367" s="643" t="s">
        <v>4728</v>
      </c>
      <c r="K367" s="643" t="s">
        <v>6376</v>
      </c>
    </row>
    <row r="368" spans="1:11">
      <c r="A368" s="614" t="s">
        <v>4907</v>
      </c>
      <c r="B368" s="614" t="s">
        <v>6177</v>
      </c>
      <c r="C368" s="615" t="s">
        <v>5193</v>
      </c>
      <c r="D368" s="616" t="s">
        <v>5601</v>
      </c>
      <c r="E368" s="616" t="s">
        <v>5763</v>
      </c>
      <c r="F368" s="617" t="s">
        <v>4908</v>
      </c>
      <c r="G368" s="616"/>
      <c r="H368" s="643" t="s">
        <v>96</v>
      </c>
      <c r="I368" s="643" t="s">
        <v>465</v>
      </c>
      <c r="J368" s="643" t="s">
        <v>4728</v>
      </c>
      <c r="K368" s="643" t="s">
        <v>6376</v>
      </c>
    </row>
    <row r="369" spans="1:11">
      <c r="A369" s="614" t="s">
        <v>4911</v>
      </c>
      <c r="B369" s="614" t="s">
        <v>6177</v>
      </c>
      <c r="C369" s="615" t="s">
        <v>5193</v>
      </c>
      <c r="D369" s="616" t="s">
        <v>5599</v>
      </c>
      <c r="E369" s="616" t="s">
        <v>5665</v>
      </c>
      <c r="F369" s="617" t="s">
        <v>4912</v>
      </c>
      <c r="G369" s="616"/>
      <c r="H369" s="643" t="s">
        <v>96</v>
      </c>
      <c r="I369" s="643" t="s">
        <v>465</v>
      </c>
      <c r="J369" s="643" t="s">
        <v>4728</v>
      </c>
      <c r="K369" s="643" t="s">
        <v>6376</v>
      </c>
    </row>
    <row r="370" spans="1:11">
      <c r="A370" s="614" t="s">
        <v>4729</v>
      </c>
      <c r="B370" s="614" t="s">
        <v>6177</v>
      </c>
      <c r="C370" s="615" t="s">
        <v>5193</v>
      </c>
      <c r="D370" s="616" t="s">
        <v>5597</v>
      </c>
      <c r="E370" s="616" t="s">
        <v>5769</v>
      </c>
      <c r="F370" s="617" t="s">
        <v>6378</v>
      </c>
      <c r="G370" s="616"/>
      <c r="H370" s="643" t="s">
        <v>96</v>
      </c>
      <c r="I370" s="643" t="s">
        <v>465</v>
      </c>
      <c r="J370" s="643" t="s">
        <v>4728</v>
      </c>
      <c r="K370" s="643" t="s">
        <v>6376</v>
      </c>
    </row>
    <row r="371" spans="1:11">
      <c r="A371" s="614" t="s">
        <v>4901</v>
      </c>
      <c r="B371" s="614" t="s">
        <v>6177</v>
      </c>
      <c r="C371" s="615" t="s">
        <v>5193</v>
      </c>
      <c r="D371" s="616" t="s">
        <v>5600</v>
      </c>
      <c r="E371" s="616" t="s">
        <v>5771</v>
      </c>
      <c r="F371" s="617" t="s">
        <v>4902</v>
      </c>
      <c r="G371" s="616"/>
      <c r="H371" s="643" t="s">
        <v>96</v>
      </c>
      <c r="I371" s="643" t="s">
        <v>465</v>
      </c>
      <c r="J371" s="643" t="s">
        <v>4728</v>
      </c>
      <c r="K371" s="643" t="s">
        <v>6376</v>
      </c>
    </row>
    <row r="372" spans="1:11">
      <c r="A372" s="614" t="s">
        <v>4899</v>
      </c>
      <c r="B372" s="614" t="s">
        <v>6177</v>
      </c>
      <c r="C372" s="615" t="s">
        <v>5193</v>
      </c>
      <c r="D372" s="616" t="s">
        <v>5593</v>
      </c>
      <c r="E372" s="616" t="s">
        <v>5766</v>
      </c>
      <c r="F372" s="617" t="s">
        <v>4900</v>
      </c>
      <c r="G372" s="616"/>
      <c r="H372" s="643" t="s">
        <v>96</v>
      </c>
      <c r="I372" s="643" t="s">
        <v>465</v>
      </c>
      <c r="J372" s="643" t="s">
        <v>4728</v>
      </c>
      <c r="K372" s="643" t="s">
        <v>6376</v>
      </c>
    </row>
    <row r="373" spans="1:11">
      <c r="A373" s="614" t="s">
        <v>4730</v>
      </c>
      <c r="B373" s="614" t="s">
        <v>6177</v>
      </c>
      <c r="C373" s="615" t="s">
        <v>5193</v>
      </c>
      <c r="D373" s="616" t="s">
        <v>5604</v>
      </c>
      <c r="E373" s="616" t="s">
        <v>5773</v>
      </c>
      <c r="F373" s="617" t="s">
        <v>4731</v>
      </c>
      <c r="G373" s="616"/>
      <c r="H373" s="643" t="s">
        <v>96</v>
      </c>
      <c r="I373" s="643" t="s">
        <v>465</v>
      </c>
      <c r="J373" s="643" t="s">
        <v>4728</v>
      </c>
      <c r="K373" s="643" t="s">
        <v>6376</v>
      </c>
    </row>
    <row r="374" spans="1:11">
      <c r="A374" s="614" t="s">
        <v>4732</v>
      </c>
      <c r="B374" s="614" t="s">
        <v>6177</v>
      </c>
      <c r="C374" s="615" t="s">
        <v>5193</v>
      </c>
      <c r="D374" s="616" t="s">
        <v>5605</v>
      </c>
      <c r="E374" s="616" t="s">
        <v>5774</v>
      </c>
      <c r="F374" s="617" t="s">
        <v>4733</v>
      </c>
      <c r="G374" s="616"/>
      <c r="H374" s="643" t="s">
        <v>96</v>
      </c>
      <c r="I374" s="643" t="s">
        <v>465</v>
      </c>
      <c r="J374" s="643" t="s">
        <v>4728</v>
      </c>
      <c r="K374" s="643" t="s">
        <v>6376</v>
      </c>
    </row>
    <row r="375" spans="1:11">
      <c r="A375" s="614" t="s">
        <v>4915</v>
      </c>
      <c r="B375" s="614" t="s">
        <v>6177</v>
      </c>
      <c r="C375" s="615" t="s">
        <v>5193</v>
      </c>
      <c r="D375" s="616" t="s">
        <v>5602</v>
      </c>
      <c r="E375" s="616" t="s">
        <v>5767</v>
      </c>
      <c r="F375" s="617" t="s">
        <v>4916</v>
      </c>
      <c r="G375" s="616"/>
      <c r="H375" s="643" t="s">
        <v>96</v>
      </c>
      <c r="I375" s="643" t="s">
        <v>465</v>
      </c>
      <c r="J375" s="643" t="s">
        <v>4728</v>
      </c>
      <c r="K375" s="643" t="s">
        <v>6376</v>
      </c>
    </row>
    <row r="376" spans="1:11">
      <c r="A376" s="614" t="s">
        <v>5031</v>
      </c>
      <c r="B376" s="614" t="s">
        <v>6177</v>
      </c>
      <c r="C376" s="615" t="s">
        <v>5193</v>
      </c>
      <c r="D376" s="616" t="s">
        <v>5596</v>
      </c>
      <c r="E376" s="616" t="s">
        <v>5761</v>
      </c>
      <c r="F376" s="617" t="s">
        <v>5032</v>
      </c>
      <c r="G376" s="616"/>
      <c r="H376" s="643" t="s">
        <v>96</v>
      </c>
      <c r="I376" s="643" t="s">
        <v>465</v>
      </c>
      <c r="J376" s="643" t="s">
        <v>4728</v>
      </c>
      <c r="K376" s="643" t="s">
        <v>6376</v>
      </c>
    </row>
    <row r="377" spans="1:11">
      <c r="A377" s="614" t="s">
        <v>4927</v>
      </c>
      <c r="B377" s="614" t="s">
        <v>6177</v>
      </c>
      <c r="C377" s="619" t="s">
        <v>5253</v>
      </c>
      <c r="D377" s="620" t="s">
        <v>5484</v>
      </c>
      <c r="E377" s="620" t="s">
        <v>6022</v>
      </c>
      <c r="F377" s="621" t="s">
        <v>4928</v>
      </c>
      <c r="G377" s="620"/>
      <c r="H377" s="643" t="s">
        <v>96</v>
      </c>
      <c r="I377" s="643" t="s">
        <v>465</v>
      </c>
      <c r="J377" s="643" t="s">
        <v>4728</v>
      </c>
      <c r="K377" s="643" t="s">
        <v>6376</v>
      </c>
    </row>
    <row r="378" spans="1:11">
      <c r="A378" s="614" t="s">
        <v>4810</v>
      </c>
      <c r="B378" s="614" t="s">
        <v>6177</v>
      </c>
      <c r="C378" s="619" t="s">
        <v>5253</v>
      </c>
      <c r="D378" s="620" t="s">
        <v>5485</v>
      </c>
      <c r="E378" s="620" t="s">
        <v>6023</v>
      </c>
      <c r="F378" s="621" t="s">
        <v>6379</v>
      </c>
      <c r="G378" s="620"/>
      <c r="H378" s="643" t="s">
        <v>96</v>
      </c>
      <c r="I378" s="643" t="s">
        <v>465</v>
      </c>
      <c r="J378" s="643" t="s">
        <v>4728</v>
      </c>
      <c r="K378" s="643" t="s">
        <v>6376</v>
      </c>
    </row>
    <row r="379" spans="1:11">
      <c r="A379" s="614" t="s">
        <v>4929</v>
      </c>
      <c r="B379" s="614" t="s">
        <v>6177</v>
      </c>
      <c r="C379" s="619" t="s">
        <v>5253</v>
      </c>
      <c r="D379" s="620" t="s">
        <v>5483</v>
      </c>
      <c r="E379" s="620" t="s">
        <v>6021</v>
      </c>
      <c r="F379" s="621" t="s">
        <v>4930</v>
      </c>
      <c r="G379" s="620"/>
      <c r="H379" s="643" t="s">
        <v>96</v>
      </c>
      <c r="I379" s="643" t="s">
        <v>465</v>
      </c>
      <c r="J379" s="643" t="s">
        <v>4728</v>
      </c>
      <c r="K379" s="643" t="s">
        <v>6376</v>
      </c>
    </row>
    <row r="380" spans="1:11">
      <c r="A380" s="614" t="s">
        <v>4813</v>
      </c>
      <c r="B380" s="614" t="s">
        <v>6177</v>
      </c>
      <c r="C380" s="619" t="s">
        <v>5253</v>
      </c>
      <c r="D380" s="620" t="s">
        <v>5488</v>
      </c>
      <c r="E380" s="620" t="s">
        <v>6026</v>
      </c>
      <c r="F380" s="621" t="s">
        <v>4814</v>
      </c>
      <c r="G380" s="620"/>
      <c r="H380" s="643" t="s">
        <v>96</v>
      </c>
      <c r="I380" s="643" t="s">
        <v>465</v>
      </c>
      <c r="J380" s="643" t="s">
        <v>4728</v>
      </c>
      <c r="K380" s="643" t="s">
        <v>6376</v>
      </c>
    </row>
    <row r="381" spans="1:11">
      <c r="A381" s="614" t="s">
        <v>4815</v>
      </c>
      <c r="B381" s="614" t="s">
        <v>6177</v>
      </c>
      <c r="C381" s="619" t="s">
        <v>5253</v>
      </c>
      <c r="D381" s="620" t="s">
        <v>5489</v>
      </c>
      <c r="E381" s="620" t="s">
        <v>6027</v>
      </c>
      <c r="F381" s="621" t="s">
        <v>4816</v>
      </c>
      <c r="G381" s="620"/>
      <c r="H381" s="643" t="s">
        <v>96</v>
      </c>
      <c r="I381" s="643" t="s">
        <v>465</v>
      </c>
      <c r="J381" s="643" t="s">
        <v>4728</v>
      </c>
      <c r="K381" s="643" t="s">
        <v>6376</v>
      </c>
    </row>
    <row r="382" spans="1:11">
      <c r="A382" s="614" t="s">
        <v>4811</v>
      </c>
      <c r="B382" s="614" t="s">
        <v>6177</v>
      </c>
      <c r="C382" s="619" t="s">
        <v>5253</v>
      </c>
      <c r="D382" s="620" t="s">
        <v>5491</v>
      </c>
      <c r="E382" s="620" t="s">
        <v>6029</v>
      </c>
      <c r="F382" s="621" t="s">
        <v>4812</v>
      </c>
      <c r="G382" s="620"/>
      <c r="H382" s="643" t="s">
        <v>96</v>
      </c>
      <c r="I382" s="643" t="s">
        <v>465</v>
      </c>
      <c r="J382" s="643" t="s">
        <v>4728</v>
      </c>
      <c r="K382" s="643" t="s">
        <v>6376</v>
      </c>
    </row>
    <row r="383" spans="1:11">
      <c r="A383" s="614" t="s">
        <v>4931</v>
      </c>
      <c r="B383" s="614" t="s">
        <v>6177</v>
      </c>
      <c r="C383" s="619" t="s">
        <v>5253</v>
      </c>
      <c r="D383" s="620" t="s">
        <v>5486</v>
      </c>
      <c r="E383" s="620" t="s">
        <v>6024</v>
      </c>
      <c r="F383" s="621" t="s">
        <v>4932</v>
      </c>
      <c r="G383" s="620"/>
      <c r="H383" s="643" t="s">
        <v>96</v>
      </c>
      <c r="I383" s="643" t="s">
        <v>465</v>
      </c>
      <c r="J383" s="643" t="s">
        <v>4728</v>
      </c>
      <c r="K383" s="643" t="s">
        <v>6376</v>
      </c>
    </row>
    <row r="384" spans="1:11">
      <c r="A384" s="614" t="s">
        <v>4984</v>
      </c>
      <c r="B384" s="614" t="s">
        <v>6177</v>
      </c>
      <c r="C384" s="627" t="s">
        <v>5194</v>
      </c>
      <c r="D384" s="628" t="s">
        <v>6380</v>
      </c>
      <c r="E384" s="633" t="s">
        <v>5657</v>
      </c>
      <c r="F384" s="628" t="s">
        <v>6381</v>
      </c>
      <c r="G384" s="633"/>
      <c r="H384" s="643" t="s">
        <v>96</v>
      </c>
      <c r="I384" s="643" t="s">
        <v>1344</v>
      </c>
      <c r="J384" s="643" t="s">
        <v>4741</v>
      </c>
      <c r="K384" s="643" t="s">
        <v>6382</v>
      </c>
    </row>
    <row r="385" spans="1:11">
      <c r="A385" s="614" t="s">
        <v>5069</v>
      </c>
      <c r="B385" s="614" t="s">
        <v>6177</v>
      </c>
      <c r="C385" s="627" t="s">
        <v>5194</v>
      </c>
      <c r="D385" s="628" t="s">
        <v>6383</v>
      </c>
      <c r="E385" s="633" t="s">
        <v>5656</v>
      </c>
      <c r="F385" s="628" t="s">
        <v>5070</v>
      </c>
      <c r="G385" s="633" t="s">
        <v>6383</v>
      </c>
      <c r="H385" s="643" t="s">
        <v>96</v>
      </c>
      <c r="I385" s="643" t="s">
        <v>1344</v>
      </c>
      <c r="J385" s="643" t="s">
        <v>4741</v>
      </c>
      <c r="K385" s="643" t="s">
        <v>6382</v>
      </c>
    </row>
    <row r="386" spans="1:11">
      <c r="A386" s="614" t="s">
        <v>6384</v>
      </c>
      <c r="B386" s="614" t="s">
        <v>6177</v>
      </c>
      <c r="C386" s="629" t="s">
        <v>5255</v>
      </c>
      <c r="D386" s="630" t="s">
        <v>6385</v>
      </c>
      <c r="E386" s="630" t="s">
        <v>5670</v>
      </c>
      <c r="F386" s="630" t="s">
        <v>6386</v>
      </c>
      <c r="G386" s="630" t="s">
        <v>6385</v>
      </c>
      <c r="H386" s="643" t="s">
        <v>96</v>
      </c>
      <c r="I386" s="643" t="s">
        <v>1344</v>
      </c>
      <c r="J386" s="643" t="s">
        <v>4741</v>
      </c>
      <c r="K386" s="643" t="s">
        <v>6382</v>
      </c>
    </row>
    <row r="387" spans="1:11">
      <c r="A387" s="614" t="s">
        <v>4925</v>
      </c>
      <c r="B387" s="614" t="s">
        <v>6177</v>
      </c>
      <c r="C387" s="615" t="s">
        <v>5193</v>
      </c>
      <c r="D387" s="616" t="s">
        <v>5609</v>
      </c>
      <c r="E387" s="616" t="s">
        <v>5780</v>
      </c>
      <c r="F387" s="617" t="s">
        <v>4926</v>
      </c>
      <c r="G387" s="616" t="s">
        <v>6387</v>
      </c>
      <c r="H387" s="643" t="s">
        <v>96</v>
      </c>
      <c r="I387" s="643" t="s">
        <v>1344</v>
      </c>
      <c r="J387" s="643" t="s">
        <v>4741</v>
      </c>
      <c r="K387" s="643" t="s">
        <v>6382</v>
      </c>
    </row>
    <row r="388" spans="1:11">
      <c r="A388" s="614" t="s">
        <v>4919</v>
      </c>
      <c r="B388" s="614" t="s">
        <v>6177</v>
      </c>
      <c r="C388" s="615" t="s">
        <v>5193</v>
      </c>
      <c r="D388" s="616" t="s">
        <v>5611</v>
      </c>
      <c r="E388" s="616" t="s">
        <v>5779</v>
      </c>
      <c r="F388" s="617" t="s">
        <v>4920</v>
      </c>
      <c r="G388" s="616"/>
      <c r="H388" s="643" t="s">
        <v>96</v>
      </c>
      <c r="I388" s="643" t="s">
        <v>1344</v>
      </c>
      <c r="J388" s="643" t="s">
        <v>4741</v>
      </c>
      <c r="K388" s="643" t="s">
        <v>6382</v>
      </c>
    </row>
    <row r="389" spans="1:11">
      <c r="A389" s="614" t="s">
        <v>4743</v>
      </c>
      <c r="B389" s="614" t="s">
        <v>6177</v>
      </c>
      <c r="C389" s="615" t="s">
        <v>5193</v>
      </c>
      <c r="D389" s="616" t="s">
        <v>5608</v>
      </c>
      <c r="E389" s="616" t="s">
        <v>5776</v>
      </c>
      <c r="F389" s="617" t="s">
        <v>4744</v>
      </c>
      <c r="G389" s="616"/>
      <c r="H389" s="643" t="s">
        <v>96</v>
      </c>
      <c r="I389" s="643" t="s">
        <v>1344</v>
      </c>
      <c r="J389" s="643" t="s">
        <v>4741</v>
      </c>
      <c r="K389" s="643" t="s">
        <v>6382</v>
      </c>
    </row>
    <row r="390" spans="1:11">
      <c r="A390" s="614" t="s">
        <v>4923</v>
      </c>
      <c r="B390" s="614" t="s">
        <v>6177</v>
      </c>
      <c r="C390" s="615" t="s">
        <v>5193</v>
      </c>
      <c r="D390" s="616" t="s">
        <v>5606</v>
      </c>
      <c r="E390" s="616" t="s">
        <v>5777</v>
      </c>
      <c r="F390" s="617" t="s">
        <v>4924</v>
      </c>
      <c r="G390" s="616"/>
      <c r="H390" s="643" t="s">
        <v>96</v>
      </c>
      <c r="I390" s="643" t="s">
        <v>1344</v>
      </c>
      <c r="J390" s="643" t="s">
        <v>4741</v>
      </c>
      <c r="K390" s="643" t="s">
        <v>6382</v>
      </c>
    </row>
    <row r="391" spans="1:11">
      <c r="A391" s="614" t="s">
        <v>4921</v>
      </c>
      <c r="B391" s="614" t="s">
        <v>6177</v>
      </c>
      <c r="C391" s="615" t="s">
        <v>5193</v>
      </c>
      <c r="D391" s="616" t="s">
        <v>5607</v>
      </c>
      <c r="E391" s="616" t="s">
        <v>5778</v>
      </c>
      <c r="F391" s="617" t="s">
        <v>4922</v>
      </c>
      <c r="G391" s="616"/>
      <c r="H391" s="643" t="s">
        <v>96</v>
      </c>
      <c r="I391" s="643" t="s">
        <v>1344</v>
      </c>
      <c r="J391" s="643" t="s">
        <v>4741</v>
      </c>
      <c r="K391" s="643" t="s">
        <v>6382</v>
      </c>
    </row>
    <row r="392" spans="1:11">
      <c r="A392" s="614" t="s">
        <v>5037</v>
      </c>
      <c r="B392" s="614" t="s">
        <v>6177</v>
      </c>
      <c r="C392" s="615" t="s">
        <v>5193</v>
      </c>
      <c r="D392" s="616" t="s">
        <v>5610</v>
      </c>
      <c r="E392" s="616" t="s">
        <v>5775</v>
      </c>
      <c r="F392" s="617" t="s">
        <v>5038</v>
      </c>
      <c r="G392" s="616"/>
      <c r="H392" s="643" t="s">
        <v>96</v>
      </c>
      <c r="I392" s="643" t="s">
        <v>1344</v>
      </c>
      <c r="J392" s="643" t="s">
        <v>4741</v>
      </c>
      <c r="K392" s="643" t="s">
        <v>6382</v>
      </c>
    </row>
    <row r="393" spans="1:11" ht="16">
      <c r="A393" s="614" t="s">
        <v>5071</v>
      </c>
      <c r="B393" s="614" t="s">
        <v>6177</v>
      </c>
      <c r="C393" s="619" t="s">
        <v>5253</v>
      </c>
      <c r="D393" s="620" t="s">
        <v>6388</v>
      </c>
      <c r="E393" s="620" t="s">
        <v>6030</v>
      </c>
      <c r="F393" s="621" t="s">
        <v>5072</v>
      </c>
      <c r="G393" s="620"/>
      <c r="H393" s="643" t="s">
        <v>96</v>
      </c>
      <c r="I393" s="643" t="s">
        <v>1344</v>
      </c>
      <c r="J393" s="643" t="s">
        <v>4741</v>
      </c>
      <c r="K393" s="643" t="s">
        <v>6382</v>
      </c>
    </row>
    <row r="394" spans="1:11" ht="16">
      <c r="A394" s="614" t="s">
        <v>5075</v>
      </c>
      <c r="B394" s="614" t="s">
        <v>6177</v>
      </c>
      <c r="C394" s="619" t="s">
        <v>5253</v>
      </c>
      <c r="D394" s="620" t="s">
        <v>6389</v>
      </c>
      <c r="E394" s="620" t="s">
        <v>6031</v>
      </c>
      <c r="F394" s="621" t="s">
        <v>5076</v>
      </c>
      <c r="G394" s="620"/>
      <c r="H394" s="643" t="s">
        <v>96</v>
      </c>
      <c r="I394" s="643" t="s">
        <v>1344</v>
      </c>
      <c r="J394" s="643" t="s">
        <v>4741</v>
      </c>
      <c r="K394" s="643" t="s">
        <v>6382</v>
      </c>
    </row>
    <row r="395" spans="1:11" ht="16">
      <c r="A395" s="614" t="s">
        <v>5073</v>
      </c>
      <c r="B395" s="614" t="s">
        <v>6177</v>
      </c>
      <c r="C395" s="619" t="s">
        <v>5253</v>
      </c>
      <c r="D395" s="620" t="s">
        <v>6390</v>
      </c>
      <c r="E395" s="620" t="s">
        <v>6034</v>
      </c>
      <c r="F395" s="621" t="s">
        <v>5074</v>
      </c>
      <c r="G395" s="620"/>
      <c r="H395" s="643" t="s">
        <v>96</v>
      </c>
      <c r="I395" s="643" t="s">
        <v>1344</v>
      </c>
      <c r="J395" s="643" t="s">
        <v>4741</v>
      </c>
      <c r="K395" s="643" t="s">
        <v>6382</v>
      </c>
    </row>
    <row r="396" spans="1:11">
      <c r="A396" s="614" t="s">
        <v>4823</v>
      </c>
      <c r="B396" s="614" t="s">
        <v>6177</v>
      </c>
      <c r="C396" s="619" t="s">
        <v>5253</v>
      </c>
      <c r="D396" s="620" t="s">
        <v>5492</v>
      </c>
      <c r="E396" s="620" t="s">
        <v>6035</v>
      </c>
      <c r="F396" s="621" t="s">
        <v>4824</v>
      </c>
      <c r="G396" s="620"/>
      <c r="H396" s="643" t="s">
        <v>96</v>
      </c>
      <c r="I396" s="643" t="s">
        <v>1344</v>
      </c>
      <c r="J396" s="643" t="s">
        <v>4741</v>
      </c>
      <c r="K396" s="643" t="s">
        <v>6382</v>
      </c>
    </row>
    <row r="397" spans="1:11">
      <c r="A397" s="614" t="s">
        <v>4933</v>
      </c>
      <c r="B397" s="614" t="s">
        <v>6177</v>
      </c>
      <c r="C397" s="619" t="s">
        <v>5253</v>
      </c>
      <c r="D397" s="620" t="s">
        <v>5493</v>
      </c>
      <c r="E397" s="620" t="s">
        <v>6036</v>
      </c>
      <c r="F397" s="621" t="s">
        <v>4934</v>
      </c>
      <c r="G397" s="620"/>
      <c r="H397" s="643" t="s">
        <v>96</v>
      </c>
      <c r="I397" s="643" t="s">
        <v>1344</v>
      </c>
      <c r="J397" s="643" t="s">
        <v>4741</v>
      </c>
      <c r="K397" s="643" t="s">
        <v>6382</v>
      </c>
    </row>
    <row r="398" spans="1:11">
      <c r="A398" s="614" t="s">
        <v>4827</v>
      </c>
      <c r="B398" s="614" t="s">
        <v>6177</v>
      </c>
      <c r="C398" s="619" t="s">
        <v>5253</v>
      </c>
      <c r="D398" s="620" t="s">
        <v>5494</v>
      </c>
      <c r="E398" s="620" t="s">
        <v>6037</v>
      </c>
      <c r="F398" s="621" t="s">
        <v>4828</v>
      </c>
      <c r="G398" s="620"/>
      <c r="H398" s="643" t="s">
        <v>96</v>
      </c>
      <c r="I398" s="643" t="s">
        <v>1344</v>
      </c>
      <c r="J398" s="643" t="s">
        <v>4741</v>
      </c>
      <c r="K398" s="643" t="s">
        <v>6382</v>
      </c>
    </row>
    <row r="399" spans="1:11">
      <c r="A399" s="614" t="s">
        <v>4825</v>
      </c>
      <c r="B399" s="614" t="s">
        <v>6177</v>
      </c>
      <c r="C399" s="619" t="s">
        <v>5253</v>
      </c>
      <c r="D399" s="620" t="s">
        <v>5495</v>
      </c>
      <c r="E399" s="620" t="s">
        <v>6038</v>
      </c>
      <c r="F399" s="621" t="s">
        <v>4826</v>
      </c>
      <c r="G399" s="620"/>
      <c r="H399" s="643" t="s">
        <v>96</v>
      </c>
      <c r="I399" s="643" t="s">
        <v>1344</v>
      </c>
      <c r="J399" s="643" t="s">
        <v>4741</v>
      </c>
      <c r="K399" s="643" t="s">
        <v>6382</v>
      </c>
    </row>
    <row r="400" spans="1:11">
      <c r="A400" s="614" t="s">
        <v>6391</v>
      </c>
      <c r="B400" s="614" t="s">
        <v>6177</v>
      </c>
      <c r="C400" s="624" t="s">
        <v>5254</v>
      </c>
      <c r="D400" s="625" t="s">
        <v>5272</v>
      </c>
      <c r="E400" s="625" t="s">
        <v>5796</v>
      </c>
      <c r="F400" s="625" t="s">
        <v>4753</v>
      </c>
      <c r="G400" s="626"/>
      <c r="H400" s="643" t="s">
        <v>96</v>
      </c>
      <c r="I400" s="643" t="s">
        <v>1344</v>
      </c>
      <c r="J400" s="643" t="s">
        <v>4741</v>
      </c>
      <c r="K400" s="643" t="s">
        <v>6382</v>
      </c>
    </row>
    <row r="401" spans="1:11">
      <c r="A401" s="614" t="s">
        <v>4891</v>
      </c>
      <c r="B401" s="614" t="s">
        <v>6177</v>
      </c>
      <c r="C401" s="615" t="s">
        <v>5193</v>
      </c>
      <c r="D401" s="616" t="s">
        <v>5616</v>
      </c>
      <c r="E401" s="616" t="s">
        <v>5738</v>
      </c>
      <c r="F401" s="617" t="s">
        <v>4892</v>
      </c>
      <c r="G401" s="616" t="s">
        <v>6392</v>
      </c>
      <c r="H401" s="643" t="s">
        <v>96</v>
      </c>
      <c r="I401" s="643" t="s">
        <v>505</v>
      </c>
      <c r="J401" s="643" t="s">
        <v>4739</v>
      </c>
      <c r="K401" s="643" t="s">
        <v>6393</v>
      </c>
    </row>
    <row r="402" spans="1:11">
      <c r="A402" s="614" t="s">
        <v>4889</v>
      </c>
      <c r="B402" s="614" t="s">
        <v>6177</v>
      </c>
      <c r="C402" s="615" t="s">
        <v>5193</v>
      </c>
      <c r="D402" s="616" t="s">
        <v>5613</v>
      </c>
      <c r="E402" s="616" t="s">
        <v>5742</v>
      </c>
      <c r="F402" s="617" t="s">
        <v>4890</v>
      </c>
      <c r="G402" s="616"/>
      <c r="H402" s="643" t="s">
        <v>96</v>
      </c>
      <c r="I402" s="643" t="s">
        <v>505</v>
      </c>
      <c r="J402" s="643" t="s">
        <v>4739</v>
      </c>
      <c r="K402" s="643" t="s">
        <v>6393</v>
      </c>
    </row>
    <row r="403" spans="1:11">
      <c r="A403" s="614" t="s">
        <v>4843</v>
      </c>
      <c r="B403" s="614" t="s">
        <v>6177</v>
      </c>
      <c r="C403" s="615" t="s">
        <v>5193</v>
      </c>
      <c r="D403" s="616" t="s">
        <v>5618</v>
      </c>
      <c r="E403" s="616" t="s">
        <v>5745</v>
      </c>
      <c r="F403" s="617" t="s">
        <v>4844</v>
      </c>
      <c r="G403" s="616"/>
      <c r="H403" s="643" t="s">
        <v>96</v>
      </c>
      <c r="I403" s="643" t="s">
        <v>505</v>
      </c>
      <c r="J403" s="643" t="s">
        <v>4739</v>
      </c>
      <c r="K403" s="643" t="s">
        <v>6393</v>
      </c>
    </row>
    <row r="404" spans="1:11">
      <c r="A404" s="614" t="s">
        <v>4841</v>
      </c>
      <c r="B404" s="614" t="s">
        <v>6177</v>
      </c>
      <c r="C404" s="615" t="s">
        <v>5193</v>
      </c>
      <c r="D404" s="616" t="s">
        <v>5612</v>
      </c>
      <c r="E404" s="616" t="s">
        <v>5743</v>
      </c>
      <c r="F404" s="617" t="s">
        <v>4842</v>
      </c>
      <c r="G404" s="616"/>
      <c r="H404" s="643" t="s">
        <v>96</v>
      </c>
      <c r="I404" s="643" t="s">
        <v>505</v>
      </c>
      <c r="J404" s="643" t="s">
        <v>4739</v>
      </c>
      <c r="K404" s="643" t="s">
        <v>6393</v>
      </c>
    </row>
    <row r="405" spans="1:11">
      <c r="A405" s="614" t="s">
        <v>4895</v>
      </c>
      <c r="B405" s="614" t="s">
        <v>6177</v>
      </c>
      <c r="C405" s="615" t="s">
        <v>5193</v>
      </c>
      <c r="D405" s="616" t="s">
        <v>5565</v>
      </c>
      <c r="E405" s="616" t="s">
        <v>5741</v>
      </c>
      <c r="F405" s="617" t="s">
        <v>4896</v>
      </c>
      <c r="G405" s="616" t="s">
        <v>6394</v>
      </c>
      <c r="H405" s="643" t="s">
        <v>96</v>
      </c>
      <c r="I405" s="643" t="s">
        <v>505</v>
      </c>
      <c r="J405" s="643" t="s">
        <v>4739</v>
      </c>
      <c r="K405" s="643" t="s">
        <v>6393</v>
      </c>
    </row>
    <row r="406" spans="1:11">
      <c r="A406" s="614" t="s">
        <v>4845</v>
      </c>
      <c r="B406" s="614" t="s">
        <v>6177</v>
      </c>
      <c r="C406" s="615" t="s">
        <v>5193</v>
      </c>
      <c r="D406" s="616" t="s">
        <v>5619</v>
      </c>
      <c r="E406" s="616" t="s">
        <v>5746</v>
      </c>
      <c r="F406" s="617" t="s">
        <v>4846</v>
      </c>
      <c r="G406" s="616" t="s">
        <v>6395</v>
      </c>
      <c r="H406" s="643" t="s">
        <v>96</v>
      </c>
      <c r="I406" s="643" t="s">
        <v>505</v>
      </c>
      <c r="J406" s="643" t="s">
        <v>4739</v>
      </c>
      <c r="K406" s="643" t="s">
        <v>6393</v>
      </c>
    </row>
    <row r="407" spans="1:11">
      <c r="A407" s="614" t="s">
        <v>4893</v>
      </c>
      <c r="B407" s="614" t="s">
        <v>6177</v>
      </c>
      <c r="C407" s="615" t="s">
        <v>5193</v>
      </c>
      <c r="D407" s="616" t="s">
        <v>5614</v>
      </c>
      <c r="E407" s="616" t="s">
        <v>5737</v>
      </c>
      <c r="F407" s="617" t="s">
        <v>4894</v>
      </c>
      <c r="G407" s="616" t="s">
        <v>6396</v>
      </c>
      <c r="H407" s="643" t="s">
        <v>96</v>
      </c>
      <c r="I407" s="643" t="s">
        <v>505</v>
      </c>
      <c r="J407" s="643" t="s">
        <v>4739</v>
      </c>
      <c r="K407" s="643" t="s">
        <v>6393</v>
      </c>
    </row>
    <row r="408" spans="1:11">
      <c r="A408" s="614" t="s">
        <v>5011</v>
      </c>
      <c r="B408" s="614" t="s">
        <v>6177</v>
      </c>
      <c r="C408" s="615" t="s">
        <v>5193</v>
      </c>
      <c r="D408" s="616" t="s">
        <v>5615</v>
      </c>
      <c r="E408" s="616" t="s">
        <v>5740</v>
      </c>
      <c r="F408" s="617" t="s">
        <v>5012</v>
      </c>
      <c r="G408" s="616"/>
      <c r="H408" s="643" t="s">
        <v>96</v>
      </c>
      <c r="I408" s="643" t="s">
        <v>505</v>
      </c>
      <c r="J408" s="643" t="s">
        <v>4739</v>
      </c>
      <c r="K408" s="643" t="s">
        <v>6393</v>
      </c>
    </row>
    <row r="409" spans="1:11">
      <c r="A409" s="614" t="s">
        <v>4831</v>
      </c>
      <c r="B409" s="614" t="s">
        <v>6177</v>
      </c>
      <c r="C409" s="619" t="s">
        <v>5253</v>
      </c>
      <c r="D409" s="620" t="s">
        <v>5505</v>
      </c>
      <c r="E409" s="620" t="s">
        <v>6003</v>
      </c>
      <c r="F409" s="621" t="s">
        <v>4832</v>
      </c>
      <c r="G409" s="620"/>
      <c r="H409" s="643" t="s">
        <v>96</v>
      </c>
      <c r="I409" s="643" t="s">
        <v>505</v>
      </c>
      <c r="J409" s="643" t="s">
        <v>4739</v>
      </c>
      <c r="K409" s="643" t="s">
        <v>6393</v>
      </c>
    </row>
    <row r="410" spans="1:11">
      <c r="A410" s="614" t="s">
        <v>4839</v>
      </c>
      <c r="B410" s="614" t="s">
        <v>6177</v>
      </c>
      <c r="C410" s="619" t="s">
        <v>5253</v>
      </c>
      <c r="D410" s="620" t="s">
        <v>5497</v>
      </c>
      <c r="E410" s="620" t="s">
        <v>6000</v>
      </c>
      <c r="F410" s="621" t="s">
        <v>4840</v>
      </c>
      <c r="G410" s="620"/>
      <c r="H410" s="643" t="s">
        <v>96</v>
      </c>
      <c r="I410" s="643" t="s">
        <v>505</v>
      </c>
      <c r="J410" s="643" t="s">
        <v>4739</v>
      </c>
      <c r="K410" s="643" t="s">
        <v>6393</v>
      </c>
    </row>
    <row r="411" spans="1:11">
      <c r="A411" s="614" t="s">
        <v>4937</v>
      </c>
      <c r="B411" s="614" t="s">
        <v>6177</v>
      </c>
      <c r="C411" s="619" t="s">
        <v>5253</v>
      </c>
      <c r="D411" s="620" t="s">
        <v>5499</v>
      </c>
      <c r="E411" s="620" t="s">
        <v>5995</v>
      </c>
      <c r="F411" s="621" t="s">
        <v>6397</v>
      </c>
      <c r="G411" s="620"/>
      <c r="H411" s="643" t="s">
        <v>96</v>
      </c>
      <c r="I411" s="643" t="s">
        <v>505</v>
      </c>
      <c r="J411" s="643" t="s">
        <v>4739</v>
      </c>
      <c r="K411" s="643" t="s">
        <v>6393</v>
      </c>
    </row>
    <row r="412" spans="1:11">
      <c r="A412" s="614" t="s">
        <v>4835</v>
      </c>
      <c r="B412" s="614" t="s">
        <v>6177</v>
      </c>
      <c r="C412" s="619" t="s">
        <v>5253</v>
      </c>
      <c r="D412" s="620" t="s">
        <v>5500</v>
      </c>
      <c r="E412" s="620" t="s">
        <v>6001</v>
      </c>
      <c r="F412" s="621" t="s">
        <v>4836</v>
      </c>
      <c r="G412" s="620"/>
      <c r="H412" s="643" t="s">
        <v>96</v>
      </c>
      <c r="I412" s="643" t="s">
        <v>505</v>
      </c>
      <c r="J412" s="643" t="s">
        <v>4739</v>
      </c>
      <c r="K412" s="643" t="s">
        <v>6393</v>
      </c>
    </row>
    <row r="413" spans="1:11">
      <c r="A413" s="614" t="s">
        <v>4939</v>
      </c>
      <c r="B413" s="614" t="s">
        <v>6177</v>
      </c>
      <c r="C413" s="619" t="s">
        <v>5253</v>
      </c>
      <c r="D413" s="620" t="s">
        <v>5498</v>
      </c>
      <c r="E413" s="620" t="s">
        <v>5994</v>
      </c>
      <c r="F413" s="621" t="s">
        <v>6398</v>
      </c>
      <c r="G413" s="620"/>
      <c r="H413" s="643" t="s">
        <v>96</v>
      </c>
      <c r="I413" s="643" t="s">
        <v>505</v>
      </c>
      <c r="J413" s="643" t="s">
        <v>4739</v>
      </c>
      <c r="K413" s="643" t="s">
        <v>6393</v>
      </c>
    </row>
    <row r="414" spans="1:11">
      <c r="A414" s="614" t="s">
        <v>4940</v>
      </c>
      <c r="B414" s="614" t="s">
        <v>6177</v>
      </c>
      <c r="C414" s="619" t="s">
        <v>5253</v>
      </c>
      <c r="D414" s="620" t="s">
        <v>5501</v>
      </c>
      <c r="E414" s="620" t="s">
        <v>5996</v>
      </c>
      <c r="F414" s="621" t="s">
        <v>6399</v>
      </c>
      <c r="G414" s="620"/>
      <c r="H414" s="643" t="s">
        <v>96</v>
      </c>
      <c r="I414" s="643" t="s">
        <v>505</v>
      </c>
      <c r="J414" s="643" t="s">
        <v>4739</v>
      </c>
      <c r="K414" s="643" t="s">
        <v>6393</v>
      </c>
    </row>
    <row r="415" spans="1:11">
      <c r="A415" s="614" t="s">
        <v>4941</v>
      </c>
      <c r="B415" s="614" t="s">
        <v>6177</v>
      </c>
      <c r="C415" s="619" t="s">
        <v>5253</v>
      </c>
      <c r="D415" s="620" t="s">
        <v>5502</v>
      </c>
      <c r="E415" s="620" t="s">
        <v>5997</v>
      </c>
      <c r="F415" s="621" t="s">
        <v>6400</v>
      </c>
      <c r="G415" s="620"/>
      <c r="H415" s="643" t="s">
        <v>96</v>
      </c>
      <c r="I415" s="643" t="s">
        <v>505</v>
      </c>
      <c r="J415" s="643" t="s">
        <v>4739</v>
      </c>
      <c r="K415" s="643" t="s">
        <v>6393</v>
      </c>
    </row>
    <row r="416" spans="1:11">
      <c r="A416" s="614" t="s">
        <v>4897</v>
      </c>
      <c r="B416" s="614" t="s">
        <v>6177</v>
      </c>
      <c r="C416" s="619" t="s">
        <v>5253</v>
      </c>
      <c r="D416" s="620" t="s">
        <v>5504</v>
      </c>
      <c r="E416" s="620" t="s">
        <v>6002</v>
      </c>
      <c r="F416" s="621" t="s">
        <v>4898</v>
      </c>
      <c r="G416" s="620"/>
      <c r="H416" s="643" t="s">
        <v>96</v>
      </c>
      <c r="I416" s="643" t="s">
        <v>505</v>
      </c>
      <c r="J416" s="643" t="s">
        <v>4739</v>
      </c>
      <c r="K416" s="643" t="s">
        <v>6393</v>
      </c>
    </row>
    <row r="417" spans="1:11">
      <c r="A417" s="614" t="s">
        <v>4829</v>
      </c>
      <c r="B417" s="614" t="s">
        <v>6177</v>
      </c>
      <c r="C417" s="619" t="s">
        <v>5253</v>
      </c>
      <c r="D417" s="620" t="s">
        <v>5506</v>
      </c>
      <c r="E417" s="620" t="s">
        <v>6004</v>
      </c>
      <c r="F417" s="621" t="s">
        <v>4830</v>
      </c>
      <c r="G417" s="620"/>
      <c r="H417" s="643" t="s">
        <v>96</v>
      </c>
      <c r="I417" s="643" t="s">
        <v>505</v>
      </c>
      <c r="J417" s="643" t="s">
        <v>4739</v>
      </c>
      <c r="K417" s="643" t="s">
        <v>6393</v>
      </c>
    </row>
    <row r="418" spans="1:11">
      <c r="A418" s="614" t="s">
        <v>4935</v>
      </c>
      <c r="B418" s="614" t="s">
        <v>6177</v>
      </c>
      <c r="C418" s="619" t="s">
        <v>5253</v>
      </c>
      <c r="D418" s="620" t="s">
        <v>5503</v>
      </c>
      <c r="E418" s="620" t="s">
        <v>5998</v>
      </c>
      <c r="F418" s="621" t="s">
        <v>4936</v>
      </c>
      <c r="G418" s="620"/>
      <c r="H418" s="643" t="s">
        <v>96</v>
      </c>
      <c r="I418" s="643" t="s">
        <v>505</v>
      </c>
      <c r="J418" s="643" t="s">
        <v>4739</v>
      </c>
      <c r="K418" s="643" t="s">
        <v>6393</v>
      </c>
    </row>
    <row r="419" spans="1:11">
      <c r="A419" s="614" t="s">
        <v>4738</v>
      </c>
      <c r="B419" s="614" t="s">
        <v>6177</v>
      </c>
      <c r="C419" s="619" t="s">
        <v>5253</v>
      </c>
      <c r="D419" s="620" t="s">
        <v>5507</v>
      </c>
      <c r="E419" s="620" t="s">
        <v>6005</v>
      </c>
      <c r="F419" s="621" t="s">
        <v>6401</v>
      </c>
      <c r="G419" s="620"/>
      <c r="H419" s="643" t="s">
        <v>96</v>
      </c>
      <c r="I419" s="643" t="s">
        <v>505</v>
      </c>
      <c r="J419" s="643" t="s">
        <v>4739</v>
      </c>
      <c r="K419" s="643" t="s">
        <v>6393</v>
      </c>
    </row>
    <row r="420" spans="1:11">
      <c r="A420" s="614" t="s">
        <v>4938</v>
      </c>
      <c r="B420" s="614" t="s">
        <v>6177</v>
      </c>
      <c r="C420" s="619" t="s">
        <v>5253</v>
      </c>
      <c r="D420" s="620" t="s">
        <v>5508</v>
      </c>
      <c r="E420" s="620" t="s">
        <v>5999</v>
      </c>
      <c r="F420" s="621" t="s">
        <v>6402</v>
      </c>
      <c r="G420" s="620"/>
      <c r="H420" s="643" t="s">
        <v>96</v>
      </c>
      <c r="I420" s="643" t="s">
        <v>505</v>
      </c>
      <c r="J420" s="643" t="s">
        <v>4739</v>
      </c>
      <c r="K420" s="643" t="s">
        <v>6393</v>
      </c>
    </row>
    <row r="421" spans="1:11">
      <c r="A421" s="614" t="s">
        <v>4833</v>
      </c>
      <c r="B421" s="614" t="s">
        <v>6177</v>
      </c>
      <c r="C421" s="619" t="s">
        <v>5253</v>
      </c>
      <c r="D421" s="620" t="s">
        <v>5509</v>
      </c>
      <c r="E421" s="620" t="s">
        <v>6006</v>
      </c>
      <c r="F421" s="621" t="s">
        <v>4834</v>
      </c>
      <c r="G421" s="620"/>
      <c r="H421" s="643" t="s">
        <v>96</v>
      </c>
      <c r="I421" s="643" t="s">
        <v>505</v>
      </c>
      <c r="J421" s="643" t="s">
        <v>4739</v>
      </c>
      <c r="K421" s="643" t="s">
        <v>6393</v>
      </c>
    </row>
    <row r="422" spans="1:11">
      <c r="A422" s="614" t="s">
        <v>4837</v>
      </c>
      <c r="B422" s="614" t="s">
        <v>6177</v>
      </c>
      <c r="C422" s="619" t="s">
        <v>5253</v>
      </c>
      <c r="D422" s="620" t="s">
        <v>5510</v>
      </c>
      <c r="E422" s="620" t="s">
        <v>6007</v>
      </c>
      <c r="F422" s="621" t="s">
        <v>4838</v>
      </c>
      <c r="G422" s="620"/>
      <c r="H422" s="643" t="s">
        <v>96</v>
      </c>
      <c r="I422" s="643" t="s">
        <v>505</v>
      </c>
      <c r="J422" s="643" t="s">
        <v>4739</v>
      </c>
      <c r="K422" s="643" t="s">
        <v>6393</v>
      </c>
    </row>
    <row r="423" spans="1:11" s="631" customFormat="1" ht="14.5">
      <c r="A423" s="622" t="s">
        <v>6501</v>
      </c>
      <c r="B423" s="614" t="s">
        <v>6177</v>
      </c>
      <c r="C423" s="615" t="s">
        <v>5193</v>
      </c>
      <c r="D423" s="640" t="s">
        <v>6500</v>
      </c>
      <c r="E423" s="640" t="s">
        <v>6403</v>
      </c>
      <c r="F423" s="640" t="s">
        <v>6404</v>
      </c>
      <c r="G423" s="622"/>
      <c r="H423" s="643" t="s">
        <v>96</v>
      </c>
      <c r="I423" s="645" t="s">
        <v>6405</v>
      </c>
      <c r="J423" s="645" t="s">
        <v>6406</v>
      </c>
      <c r="K423" s="645" t="s">
        <v>6407</v>
      </c>
    </row>
    <row r="424" spans="1:11" s="631" customFormat="1" ht="14.5">
      <c r="A424" s="622" t="s">
        <v>6503</v>
      </c>
      <c r="B424" s="614" t="s">
        <v>6177</v>
      </c>
      <c r="C424" s="615" t="s">
        <v>5193</v>
      </c>
      <c r="D424" s="640" t="s">
        <v>6502</v>
      </c>
      <c r="E424" s="640" t="s">
        <v>6408</v>
      </c>
      <c r="F424" s="640" t="s">
        <v>6409</v>
      </c>
      <c r="G424" s="622"/>
      <c r="H424" s="643" t="s">
        <v>96</v>
      </c>
      <c r="I424" s="645" t="s">
        <v>6405</v>
      </c>
      <c r="J424" s="645" t="s">
        <v>6406</v>
      </c>
      <c r="K424" s="645" t="s">
        <v>6407</v>
      </c>
    </row>
    <row r="425" spans="1:11" s="631" customFormat="1" ht="14.5">
      <c r="A425" s="622" t="s">
        <v>6505</v>
      </c>
      <c r="B425" s="614" t="s">
        <v>6177</v>
      </c>
      <c r="C425" s="615" t="s">
        <v>5193</v>
      </c>
      <c r="D425" s="640" t="s">
        <v>6504</v>
      </c>
      <c r="E425" s="640" t="s">
        <v>6410</v>
      </c>
      <c r="F425" s="640" t="s">
        <v>6411</v>
      </c>
      <c r="G425" s="622"/>
      <c r="H425" s="643" t="s">
        <v>96</v>
      </c>
      <c r="I425" s="645" t="s">
        <v>6405</v>
      </c>
      <c r="J425" s="645" t="s">
        <v>6406</v>
      </c>
      <c r="K425" s="645" t="s">
        <v>6407</v>
      </c>
    </row>
    <row r="426" spans="1:11" s="631" customFormat="1" ht="14.5">
      <c r="A426" s="622" t="s">
        <v>6507</v>
      </c>
      <c r="B426" s="614" t="s">
        <v>6177</v>
      </c>
      <c r="C426" s="615" t="s">
        <v>5193</v>
      </c>
      <c r="D426" s="640" t="s">
        <v>6506</v>
      </c>
      <c r="E426" s="640" t="s">
        <v>6412</v>
      </c>
      <c r="F426" s="640" t="s">
        <v>6413</v>
      </c>
      <c r="G426" s="622"/>
      <c r="H426" s="643" t="s">
        <v>96</v>
      </c>
      <c r="I426" s="645" t="s">
        <v>6405</v>
      </c>
      <c r="J426" s="645" t="s">
        <v>6406</v>
      </c>
      <c r="K426" s="645" t="s">
        <v>6407</v>
      </c>
    </row>
    <row r="427" spans="1:11" s="631" customFormat="1" ht="14.5">
      <c r="A427" s="622" t="s">
        <v>6509</v>
      </c>
      <c r="B427" s="614" t="s">
        <v>6177</v>
      </c>
      <c r="C427" s="615" t="s">
        <v>5193</v>
      </c>
      <c r="D427" s="640" t="s">
        <v>6508</v>
      </c>
      <c r="E427" s="640" t="s">
        <v>6414</v>
      </c>
      <c r="F427" s="640" t="s">
        <v>6415</v>
      </c>
      <c r="G427" s="622"/>
      <c r="H427" s="643" t="s">
        <v>96</v>
      </c>
      <c r="I427" s="645" t="s">
        <v>6405</v>
      </c>
      <c r="J427" s="645" t="s">
        <v>6406</v>
      </c>
      <c r="K427" s="645" t="s">
        <v>6407</v>
      </c>
    </row>
    <row r="428" spans="1:11" s="631" customFormat="1" ht="14.5">
      <c r="A428" s="622" t="s">
        <v>6511</v>
      </c>
      <c r="B428" s="614" t="s">
        <v>6177</v>
      </c>
      <c r="C428" s="619" t="s">
        <v>5253</v>
      </c>
      <c r="D428" s="620" t="s">
        <v>6510</v>
      </c>
      <c r="E428" s="620" t="s">
        <v>6416</v>
      </c>
      <c r="F428" s="620" t="s">
        <v>6417</v>
      </c>
      <c r="G428" s="622"/>
      <c r="H428" s="643" t="s">
        <v>96</v>
      </c>
      <c r="I428" s="645" t="s">
        <v>6405</v>
      </c>
      <c r="J428" s="645" t="s">
        <v>6406</v>
      </c>
      <c r="K428" s="645" t="s">
        <v>6407</v>
      </c>
    </row>
    <row r="429" spans="1:11" s="631" customFormat="1" ht="14.5">
      <c r="A429" s="622" t="s">
        <v>6513</v>
      </c>
      <c r="B429" s="614" t="s">
        <v>6177</v>
      </c>
      <c r="C429" s="619" t="s">
        <v>5253</v>
      </c>
      <c r="D429" s="620" t="s">
        <v>6512</v>
      </c>
      <c r="E429" s="620" t="s">
        <v>6418</v>
      </c>
      <c r="F429" s="620" t="s">
        <v>6419</v>
      </c>
      <c r="G429" s="622"/>
      <c r="H429" s="643" t="s">
        <v>96</v>
      </c>
      <c r="I429" s="645" t="s">
        <v>6405</v>
      </c>
      <c r="J429" s="645" t="s">
        <v>6406</v>
      </c>
      <c r="K429" s="645" t="s">
        <v>6407</v>
      </c>
    </row>
    <row r="430" spans="1:11" s="631" customFormat="1" ht="14.5">
      <c r="A430" s="622" t="s">
        <v>6515</v>
      </c>
      <c r="B430" s="614" t="s">
        <v>6177</v>
      </c>
      <c r="C430" s="619" t="s">
        <v>5253</v>
      </c>
      <c r="D430" s="620" t="s">
        <v>6514</v>
      </c>
      <c r="E430" s="620" t="s">
        <v>6420</v>
      </c>
      <c r="F430" s="620" t="s">
        <v>6421</v>
      </c>
      <c r="G430" s="622"/>
      <c r="H430" s="643" t="s">
        <v>96</v>
      </c>
      <c r="I430" s="645" t="s">
        <v>6405</v>
      </c>
      <c r="J430" s="645" t="s">
        <v>6406</v>
      </c>
      <c r="K430" s="645" t="s">
        <v>6407</v>
      </c>
    </row>
    <row r="431" spans="1:11" s="631" customFormat="1" ht="14.5">
      <c r="A431" s="622" t="s">
        <v>6519</v>
      </c>
      <c r="B431" s="614" t="s">
        <v>6177</v>
      </c>
      <c r="C431" s="615" t="s">
        <v>5193</v>
      </c>
      <c r="D431" s="640" t="s">
        <v>6518</v>
      </c>
      <c r="E431" s="640" t="s">
        <v>6422</v>
      </c>
      <c r="F431" s="640" t="s">
        <v>6423</v>
      </c>
      <c r="G431" s="622"/>
      <c r="H431" s="646" t="s">
        <v>6424</v>
      </c>
      <c r="I431" s="647" t="s">
        <v>6425</v>
      </c>
      <c r="J431" s="647" t="s">
        <v>6426</v>
      </c>
      <c r="K431" s="647" t="s">
        <v>6427</v>
      </c>
    </row>
    <row r="432" spans="1:11" s="631" customFormat="1" ht="14.5">
      <c r="A432" s="622" t="s">
        <v>6517</v>
      </c>
      <c r="B432" s="614" t="s">
        <v>6177</v>
      </c>
      <c r="C432" s="615" t="s">
        <v>5193</v>
      </c>
      <c r="D432" s="640" t="s">
        <v>6516</v>
      </c>
      <c r="E432" s="640" t="s">
        <v>6428</v>
      </c>
      <c r="F432" s="640" t="s">
        <v>6429</v>
      </c>
      <c r="G432" s="622"/>
      <c r="H432" s="646" t="s">
        <v>6424</v>
      </c>
      <c r="I432" s="647" t="s">
        <v>6425</v>
      </c>
      <c r="J432" s="647" t="s">
        <v>6426</v>
      </c>
      <c r="K432" s="647" t="s">
        <v>6427</v>
      </c>
    </row>
    <row r="433" spans="1:11" s="631" customFormat="1" ht="14.5">
      <c r="A433" s="622" t="s">
        <v>6521</v>
      </c>
      <c r="B433" s="614" t="s">
        <v>6177</v>
      </c>
      <c r="C433" s="615" t="s">
        <v>5193</v>
      </c>
      <c r="D433" s="640" t="s">
        <v>6520</v>
      </c>
      <c r="E433" s="640" t="s">
        <v>6430</v>
      </c>
      <c r="F433" s="640" t="s">
        <v>6431</v>
      </c>
      <c r="G433" s="622"/>
      <c r="H433" s="646" t="s">
        <v>6424</v>
      </c>
      <c r="I433" s="647" t="s">
        <v>6425</v>
      </c>
      <c r="J433" s="647" t="s">
        <v>6426</v>
      </c>
      <c r="K433" s="647" t="s">
        <v>6427</v>
      </c>
    </row>
    <row r="434" spans="1:11" s="631" customFormat="1" ht="14.5">
      <c r="A434" s="622" t="s">
        <v>6523</v>
      </c>
      <c r="B434" s="614" t="s">
        <v>6177</v>
      </c>
      <c r="C434" s="615" t="s">
        <v>5193</v>
      </c>
      <c r="D434" s="640" t="s">
        <v>6522</v>
      </c>
      <c r="E434" s="640" t="s">
        <v>6432</v>
      </c>
      <c r="F434" s="640" t="s">
        <v>6433</v>
      </c>
      <c r="G434" s="622"/>
      <c r="H434" s="646" t="s">
        <v>6424</v>
      </c>
      <c r="I434" s="647" t="s">
        <v>6425</v>
      </c>
      <c r="J434" s="647" t="s">
        <v>6426</v>
      </c>
      <c r="K434" s="647" t="s">
        <v>6427</v>
      </c>
    </row>
    <row r="435" spans="1:11">
      <c r="A435" s="614" t="s">
        <v>4520</v>
      </c>
      <c r="B435" s="644" t="s">
        <v>6434</v>
      </c>
      <c r="C435" s="619" t="s">
        <v>5253</v>
      </c>
      <c r="D435" s="620" t="s">
        <v>5289</v>
      </c>
      <c r="E435" s="620" t="s">
        <v>5824</v>
      </c>
      <c r="F435" s="621" t="s">
        <v>4521</v>
      </c>
      <c r="G435" s="620"/>
      <c r="H435" s="618" t="s">
        <v>736</v>
      </c>
      <c r="I435" s="618" t="s">
        <v>1265</v>
      </c>
      <c r="J435" s="618" t="s">
        <v>5167</v>
      </c>
      <c r="K435" s="618" t="s">
        <v>6206</v>
      </c>
    </row>
    <row r="436" spans="1:11">
      <c r="A436" s="614" t="s">
        <v>4518</v>
      </c>
      <c r="B436" s="644" t="s">
        <v>6434</v>
      </c>
      <c r="C436" s="619" t="s">
        <v>5253</v>
      </c>
      <c r="D436" s="620" t="s">
        <v>5302</v>
      </c>
      <c r="E436" s="620" t="s">
        <v>5835</v>
      </c>
      <c r="F436" s="621" t="s">
        <v>4519</v>
      </c>
      <c r="G436" s="620"/>
      <c r="H436" s="618" t="s">
        <v>736</v>
      </c>
      <c r="I436" s="618" t="s">
        <v>1269</v>
      </c>
      <c r="J436" s="618" t="s">
        <v>1515</v>
      </c>
      <c r="K436" s="618" t="s">
        <v>6218</v>
      </c>
    </row>
    <row r="437" spans="1:11">
      <c r="A437" s="614" t="s">
        <v>4517</v>
      </c>
      <c r="B437" s="644" t="s">
        <v>6434</v>
      </c>
      <c r="C437" s="619" t="s">
        <v>5253</v>
      </c>
      <c r="D437" s="620" t="s">
        <v>5304</v>
      </c>
      <c r="E437" s="620" t="s">
        <v>5836</v>
      </c>
      <c r="F437" s="621" t="s">
        <v>6435</v>
      </c>
      <c r="G437" s="620" t="s">
        <v>6436</v>
      </c>
      <c r="H437" s="618" t="s">
        <v>736</v>
      </c>
      <c r="I437" s="618" t="s">
        <v>1269</v>
      </c>
      <c r="J437" s="618" t="s">
        <v>1515</v>
      </c>
      <c r="K437" s="618" t="s">
        <v>6218</v>
      </c>
    </row>
    <row r="438" spans="1:11">
      <c r="A438" s="614" t="s">
        <v>4487</v>
      </c>
      <c r="B438" s="644" t="s">
        <v>6434</v>
      </c>
      <c r="C438" s="615" t="s">
        <v>5193</v>
      </c>
      <c r="D438" s="616" t="s">
        <v>5523</v>
      </c>
      <c r="E438" s="616" t="s">
        <v>6437</v>
      </c>
      <c r="F438" s="617" t="s">
        <v>4488</v>
      </c>
      <c r="G438" s="616" t="s">
        <v>6438</v>
      </c>
      <c r="H438" s="618" t="s">
        <v>736</v>
      </c>
      <c r="I438" s="618" t="s">
        <v>5132</v>
      </c>
      <c r="J438" s="618" t="s">
        <v>5134</v>
      </c>
      <c r="K438" s="618" t="s">
        <v>6223</v>
      </c>
    </row>
    <row r="439" spans="1:11">
      <c r="A439" s="614" t="s">
        <v>6439</v>
      </c>
      <c r="B439" s="644" t="s">
        <v>6449</v>
      </c>
      <c r="C439" s="629" t="s">
        <v>5255</v>
      </c>
      <c r="D439" s="630" t="s">
        <v>6440</v>
      </c>
      <c r="E439" s="630" t="s">
        <v>6441</v>
      </c>
      <c r="F439" s="630" t="s">
        <v>6442</v>
      </c>
      <c r="G439" s="630" t="s">
        <v>6443</v>
      </c>
      <c r="H439" s="618" t="s">
        <v>736</v>
      </c>
      <c r="I439" s="618" t="s">
        <v>1259</v>
      </c>
      <c r="J439" s="618" t="s">
        <v>5165</v>
      </c>
      <c r="K439" s="618" t="s">
        <v>6229</v>
      </c>
    </row>
    <row r="440" spans="1:11">
      <c r="A440" s="614" t="s">
        <v>4325</v>
      </c>
      <c r="B440" s="644" t="s">
        <v>6434</v>
      </c>
      <c r="C440" s="619" t="s">
        <v>5253</v>
      </c>
      <c r="D440" s="620" t="s">
        <v>5321</v>
      </c>
      <c r="E440" s="620" t="s">
        <v>5840</v>
      </c>
      <c r="F440" s="621" t="s">
        <v>6444</v>
      </c>
      <c r="G440" s="620"/>
      <c r="H440" s="618" t="s">
        <v>736</v>
      </c>
      <c r="I440" s="618" t="s">
        <v>1252</v>
      </c>
      <c r="J440" s="618" t="s">
        <v>5160</v>
      </c>
      <c r="K440" s="618" t="s">
        <v>6232</v>
      </c>
    </row>
    <row r="441" spans="1:11">
      <c r="A441" s="614" t="s">
        <v>4326</v>
      </c>
      <c r="B441" s="644" t="s">
        <v>6434</v>
      </c>
      <c r="C441" s="619" t="s">
        <v>5253</v>
      </c>
      <c r="D441" s="620" t="s">
        <v>5325</v>
      </c>
      <c r="E441" s="620" t="s">
        <v>5844</v>
      </c>
      <c r="F441" s="621" t="s">
        <v>6445</v>
      </c>
      <c r="G441" s="620"/>
      <c r="H441" s="618" t="s">
        <v>736</v>
      </c>
      <c r="I441" s="618" t="s">
        <v>1252</v>
      </c>
      <c r="J441" s="618" t="s">
        <v>5160</v>
      </c>
      <c r="K441" s="618" t="s">
        <v>6232</v>
      </c>
    </row>
    <row r="442" spans="1:11">
      <c r="A442" s="614" t="s">
        <v>6446</v>
      </c>
      <c r="B442" s="644" t="s">
        <v>6434</v>
      </c>
      <c r="C442" s="619" t="s">
        <v>5253</v>
      </c>
      <c r="D442" s="620" t="s">
        <v>5341</v>
      </c>
      <c r="E442" s="620" t="s">
        <v>5891</v>
      </c>
      <c r="F442" s="621" t="s">
        <v>6447</v>
      </c>
      <c r="G442" s="620"/>
      <c r="H442" s="634" t="s">
        <v>1370</v>
      </c>
      <c r="I442" s="634" t="s">
        <v>10</v>
      </c>
      <c r="J442" s="634" t="s">
        <v>1955</v>
      </c>
      <c r="K442" s="634" t="s">
        <v>6245</v>
      </c>
    </row>
    <row r="443" spans="1:11">
      <c r="A443" s="614" t="s">
        <v>4421</v>
      </c>
      <c r="B443" s="644" t="s">
        <v>6434</v>
      </c>
      <c r="C443" s="619" t="s">
        <v>5253</v>
      </c>
      <c r="D443" s="620" t="s">
        <v>5383</v>
      </c>
      <c r="E443" s="620" t="s">
        <v>5959</v>
      </c>
      <c r="F443" s="621" t="s">
        <v>4422</v>
      </c>
      <c r="G443" s="620"/>
      <c r="H443" s="636" t="s">
        <v>871</v>
      </c>
      <c r="I443" s="636" t="s">
        <v>1308</v>
      </c>
      <c r="J443" s="636" t="s">
        <v>5186</v>
      </c>
      <c r="K443" s="636" t="s">
        <v>6271</v>
      </c>
    </row>
    <row r="444" spans="1:11">
      <c r="A444" s="614" t="s">
        <v>4689</v>
      </c>
      <c r="B444" s="644" t="s">
        <v>6434</v>
      </c>
      <c r="C444" s="619" t="s">
        <v>5253</v>
      </c>
      <c r="D444" s="620" t="s">
        <v>5384</v>
      </c>
      <c r="E444" s="620" t="s">
        <v>5908</v>
      </c>
      <c r="F444" s="621" t="s">
        <v>6531</v>
      </c>
      <c r="G444" s="620"/>
      <c r="H444" s="636" t="s">
        <v>871</v>
      </c>
      <c r="I444" s="636" t="s">
        <v>1470</v>
      </c>
      <c r="J444" s="636" t="s">
        <v>5176</v>
      </c>
      <c r="K444" s="636" t="s">
        <v>6273</v>
      </c>
    </row>
    <row r="445" spans="1:11">
      <c r="A445" s="614" t="s">
        <v>4659</v>
      </c>
      <c r="B445" s="644" t="s">
        <v>6434</v>
      </c>
      <c r="C445" s="619" t="s">
        <v>5253</v>
      </c>
      <c r="D445" s="620" t="s">
        <v>5433</v>
      </c>
      <c r="E445" s="620" t="s">
        <v>5976</v>
      </c>
      <c r="F445" s="621" t="s">
        <v>6448</v>
      </c>
      <c r="G445" s="620"/>
      <c r="H445" s="641" t="s">
        <v>1376</v>
      </c>
      <c r="I445" s="641" t="s">
        <v>5188</v>
      </c>
      <c r="J445" s="641" t="s">
        <v>5189</v>
      </c>
      <c r="K445" s="641" t="s">
        <v>6341</v>
      </c>
    </row>
    <row r="446" spans="1:11">
      <c r="A446" s="614" t="s">
        <v>4720</v>
      </c>
      <c r="B446" s="614" t="s">
        <v>6177</v>
      </c>
      <c r="C446" s="615" t="s">
        <v>5193</v>
      </c>
      <c r="D446" s="616" t="s">
        <v>5582</v>
      </c>
      <c r="E446" s="616" t="s">
        <v>5727</v>
      </c>
      <c r="F446" s="617" t="s">
        <v>6530</v>
      </c>
      <c r="G446" s="616"/>
      <c r="H446" s="643" t="s">
        <v>96</v>
      </c>
      <c r="I446" s="643" t="s">
        <v>1332</v>
      </c>
      <c r="J446" s="643" t="s">
        <v>4684</v>
      </c>
      <c r="K446" s="643" t="s">
        <v>6369</v>
      </c>
    </row>
    <row r="447" spans="1:11">
      <c r="A447" s="614" t="s">
        <v>4787</v>
      </c>
      <c r="B447" s="644" t="s">
        <v>6449</v>
      </c>
      <c r="C447" s="619" t="s">
        <v>5253</v>
      </c>
      <c r="D447" s="620" t="s">
        <v>5476</v>
      </c>
      <c r="E447" s="620" t="s">
        <v>5982</v>
      </c>
      <c r="F447" s="621" t="s">
        <v>6450</v>
      </c>
      <c r="G447" s="620"/>
      <c r="H447" s="643" t="s">
        <v>96</v>
      </c>
      <c r="I447" s="643" t="s">
        <v>1332</v>
      </c>
      <c r="J447" s="643" t="s">
        <v>4684</v>
      </c>
      <c r="K447" s="643" t="s">
        <v>6369</v>
      </c>
    </row>
    <row r="448" spans="1:11">
      <c r="A448" s="614" t="s">
        <v>4725</v>
      </c>
      <c r="B448" s="644" t="s">
        <v>6449</v>
      </c>
      <c r="C448" s="619" t="s">
        <v>5253</v>
      </c>
      <c r="D448" s="620" t="s">
        <v>5474</v>
      </c>
      <c r="E448" s="620" t="s">
        <v>5985</v>
      </c>
      <c r="F448" s="621" t="s">
        <v>6451</v>
      </c>
      <c r="G448" s="620"/>
      <c r="H448" s="643" t="s">
        <v>96</v>
      </c>
      <c r="I448" s="643" t="s">
        <v>1332</v>
      </c>
      <c r="J448" s="643" t="s">
        <v>4684</v>
      </c>
      <c r="K448" s="643" t="s">
        <v>6369</v>
      </c>
    </row>
    <row r="449" spans="1:11">
      <c r="A449" s="614" t="s">
        <v>4745</v>
      </c>
      <c r="B449" s="644" t="s">
        <v>6434</v>
      </c>
      <c r="C449" s="615" t="s">
        <v>5193</v>
      </c>
      <c r="D449" s="616" t="s">
        <v>5579</v>
      </c>
      <c r="E449" s="616" t="s">
        <v>5758</v>
      </c>
      <c r="F449" s="617" t="s">
        <v>6532</v>
      </c>
      <c r="G449" s="616"/>
      <c r="H449" s="643" t="s">
        <v>96</v>
      </c>
      <c r="I449" s="643" t="s">
        <v>1355</v>
      </c>
      <c r="J449" s="643" t="s">
        <v>4746</v>
      </c>
      <c r="K449" s="643" t="s">
        <v>6365</v>
      </c>
    </row>
    <row r="450" spans="1:11" s="631" customFormat="1" ht="14.5">
      <c r="A450" s="614" t="s">
        <v>4750</v>
      </c>
      <c r="B450" s="644" t="s">
        <v>6434</v>
      </c>
      <c r="C450" s="619" t="s">
        <v>5253</v>
      </c>
      <c r="D450" s="620" t="s">
        <v>5480</v>
      </c>
      <c r="E450" s="620" t="s">
        <v>6014</v>
      </c>
      <c r="F450" s="621" t="s">
        <v>6534</v>
      </c>
      <c r="G450" s="620"/>
      <c r="H450" s="643" t="s">
        <v>96</v>
      </c>
      <c r="I450" s="643" t="s">
        <v>506</v>
      </c>
      <c r="J450" s="643" t="s">
        <v>4749</v>
      </c>
      <c r="K450" s="643" t="s">
        <v>6372</v>
      </c>
    </row>
    <row r="451" spans="1:11" s="631" customFormat="1" ht="14.5">
      <c r="A451" s="614" t="s">
        <v>4737</v>
      </c>
      <c r="B451" s="644" t="s">
        <v>6434</v>
      </c>
      <c r="C451" s="619" t="s">
        <v>5253</v>
      </c>
      <c r="D451" s="620" t="s">
        <v>5487</v>
      </c>
      <c r="E451" s="620" t="s">
        <v>6025</v>
      </c>
      <c r="F451" s="621" t="s">
        <v>6452</v>
      </c>
      <c r="G451" s="620" t="s">
        <v>6453</v>
      </c>
      <c r="H451" s="643" t="s">
        <v>96</v>
      </c>
      <c r="I451" s="643" t="s">
        <v>465</v>
      </c>
      <c r="J451" s="643" t="s">
        <v>4728</v>
      </c>
      <c r="K451" s="643" t="s">
        <v>6376</v>
      </c>
    </row>
    <row r="452" spans="1:11" s="631" customFormat="1" ht="14.5">
      <c r="A452" s="614" t="s">
        <v>4736</v>
      </c>
      <c r="B452" s="644" t="s">
        <v>6434</v>
      </c>
      <c r="C452" s="619" t="s">
        <v>5253</v>
      </c>
      <c r="D452" s="620" t="s">
        <v>5490</v>
      </c>
      <c r="E452" s="620" t="s">
        <v>6028</v>
      </c>
      <c r="F452" s="621" t="s">
        <v>6454</v>
      </c>
      <c r="G452" s="620"/>
      <c r="H452" s="643" t="s">
        <v>96</v>
      </c>
      <c r="I452" s="643" t="s">
        <v>465</v>
      </c>
      <c r="J452" s="643" t="s">
        <v>4728</v>
      </c>
      <c r="K452" s="643" t="s">
        <v>6376</v>
      </c>
    </row>
    <row r="453" spans="1:11" s="631" customFormat="1" ht="14.5">
      <c r="A453" s="614" t="s">
        <v>4740</v>
      </c>
      <c r="B453" s="644" t="s">
        <v>6434</v>
      </c>
      <c r="C453" s="619" t="s">
        <v>5253</v>
      </c>
      <c r="D453" s="620" t="s">
        <v>5496</v>
      </c>
      <c r="E453" s="620" t="s">
        <v>6033</v>
      </c>
      <c r="F453" s="621" t="s">
        <v>6455</v>
      </c>
      <c r="G453" s="620"/>
      <c r="H453" s="643" t="s">
        <v>96</v>
      </c>
      <c r="I453" s="643" t="s">
        <v>1344</v>
      </c>
      <c r="J453" s="643" t="s">
        <v>4741</v>
      </c>
      <c r="K453" s="643" t="s">
        <v>6382</v>
      </c>
    </row>
    <row r="454" spans="1:11" s="631" customFormat="1" ht="14.5">
      <c r="A454" s="614" t="s">
        <v>4742</v>
      </c>
      <c r="B454" s="644" t="s">
        <v>6434</v>
      </c>
      <c r="C454" s="619" t="s">
        <v>5253</v>
      </c>
      <c r="D454" s="620" t="s">
        <v>6456</v>
      </c>
      <c r="E454" s="620" t="s">
        <v>6032</v>
      </c>
      <c r="F454" s="621" t="s">
        <v>6457</v>
      </c>
      <c r="G454" s="620" t="s">
        <v>6458</v>
      </c>
      <c r="H454" s="643" t="s">
        <v>96</v>
      </c>
      <c r="I454" s="643" t="s">
        <v>1344</v>
      </c>
      <c r="J454" s="643" t="s">
        <v>4741</v>
      </c>
      <c r="K454" s="643" t="s">
        <v>6382</v>
      </c>
    </row>
    <row r="455" spans="1:11" s="631" customFormat="1" ht="14.5">
      <c r="A455" s="614" t="s">
        <v>6459</v>
      </c>
      <c r="B455" s="644" t="s">
        <v>6434</v>
      </c>
      <c r="C455" s="619" t="s">
        <v>5253</v>
      </c>
      <c r="D455" s="620" t="s">
        <v>6460</v>
      </c>
      <c r="E455" s="621" t="s">
        <v>6440</v>
      </c>
      <c r="F455" s="620" t="s">
        <v>6461</v>
      </c>
      <c r="G455" s="620" t="s">
        <v>6458</v>
      </c>
      <c r="H455" s="643" t="s">
        <v>96</v>
      </c>
      <c r="I455" s="643" t="s">
        <v>1344</v>
      </c>
      <c r="J455" s="643" t="s">
        <v>4741</v>
      </c>
      <c r="K455" s="643" t="s">
        <v>6382</v>
      </c>
    </row>
    <row r="456" spans="1:11">
      <c r="A456" s="614" t="s">
        <v>4862</v>
      </c>
      <c r="B456" s="644" t="s">
        <v>6434</v>
      </c>
      <c r="C456" s="615" t="s">
        <v>5193</v>
      </c>
      <c r="D456" s="616" t="s">
        <v>5620</v>
      </c>
      <c r="E456" s="616" t="s">
        <v>5739</v>
      </c>
      <c r="F456" s="617" t="s">
        <v>6462</v>
      </c>
      <c r="G456" s="616"/>
      <c r="H456" s="643" t="s">
        <v>96</v>
      </c>
      <c r="I456" s="643" t="s">
        <v>505</v>
      </c>
      <c r="J456" s="643" t="s">
        <v>4739</v>
      </c>
      <c r="K456" s="643" t="s">
        <v>6393</v>
      </c>
    </row>
    <row r="457" spans="1:11">
      <c r="A457" s="614" t="s">
        <v>4861</v>
      </c>
      <c r="B457" s="644" t="s">
        <v>6434</v>
      </c>
      <c r="C457" s="615" t="s">
        <v>5193</v>
      </c>
      <c r="D457" s="616" t="s">
        <v>5617</v>
      </c>
      <c r="E457" s="616" t="s">
        <v>5744</v>
      </c>
      <c r="F457" s="617" t="s">
        <v>6535</v>
      </c>
      <c r="G457" s="616"/>
      <c r="H457" s="643" t="s">
        <v>96</v>
      </c>
      <c r="I457" s="643" t="s">
        <v>505</v>
      </c>
      <c r="J457" s="643" t="s">
        <v>4739</v>
      </c>
      <c r="K457" s="643" t="s">
        <v>6393</v>
      </c>
    </row>
  </sheetData>
  <autoFilter ref="A2:K2" xr:uid="{00000000-0009-0000-0000-000019000000}"/>
  <mergeCells count="1">
    <mergeCell ref="B1:K1"/>
  </mergeCells>
  <phoneticPr fontId="7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21"/>
  <sheetViews>
    <sheetView workbookViewId="0"/>
  </sheetViews>
  <sheetFormatPr defaultRowHeight="15"/>
  <sheetData>
    <row r="1" spans="1:1">
      <c r="A1" s="208" t="s">
        <v>6904</v>
      </c>
    </row>
    <row r="2" spans="1:1">
      <c r="A2" s="208" t="s">
        <v>6841</v>
      </c>
    </row>
    <row r="3" spans="1:1">
      <c r="A3" s="208" t="s">
        <v>6839</v>
      </c>
    </row>
    <row r="4" spans="1:1">
      <c r="A4" s="208" t="s">
        <v>6716</v>
      </c>
    </row>
    <row r="5" spans="1:1">
      <c r="A5" s="208" t="s">
        <v>6718</v>
      </c>
    </row>
    <row r="6" spans="1:1">
      <c r="A6" s="208" t="s">
        <v>6840</v>
      </c>
    </row>
    <row r="7" spans="1:1">
      <c r="A7" s="208"/>
    </row>
    <row r="11" spans="1:1">
      <c r="A11" s="208"/>
    </row>
    <row r="12" spans="1:1">
      <c r="A12" s="208"/>
    </row>
    <row r="15" spans="1:1">
      <c r="A15" s="208"/>
    </row>
    <row r="16" spans="1:1">
      <c r="A16" s="208"/>
    </row>
    <row r="17" spans="1:1">
      <c r="A17" s="208"/>
    </row>
    <row r="18" spans="1:1">
      <c r="A18" s="208"/>
    </row>
    <row r="20" spans="1:1">
      <c r="A20" s="208"/>
    </row>
    <row r="21" spans="1:1">
      <c r="A21" s="208"/>
    </row>
  </sheetData>
  <phoneticPr fontId="5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>
      <pane ySplit="1" topLeftCell="A2" activePane="bottomLeft" state="frozen"/>
      <selection pane="bottomLeft" activeCell="G1" sqref="G1"/>
    </sheetView>
  </sheetViews>
  <sheetFormatPr defaultColWidth="8.83203125" defaultRowHeight="16.5"/>
  <cols>
    <col min="1" max="1" width="20.6640625" style="75" customWidth="1"/>
    <col min="2" max="2" width="25.6640625" style="75" customWidth="1"/>
    <col min="3" max="3" width="8.6640625" style="75" customWidth="1"/>
    <col min="4" max="4" width="20.6640625" style="75" customWidth="1"/>
    <col min="5" max="5" width="25.6640625" style="75" customWidth="1"/>
    <col min="6" max="6" width="8.6640625" style="75" customWidth="1"/>
    <col min="7" max="16384" width="8.83203125" style="75"/>
  </cols>
  <sheetData>
    <row r="1" spans="1:9" ht="17" thickBot="1">
      <c r="A1" s="73" t="s">
        <v>2023</v>
      </c>
      <c r="B1" s="74" t="s">
        <v>6771</v>
      </c>
      <c r="C1" s="74"/>
      <c r="F1" s="76" t="s">
        <v>2021</v>
      </c>
      <c r="G1" s="573" t="s">
        <v>3676</v>
      </c>
      <c r="H1" s="319">
        <f>VLOOKUP(G1,Data!$A:$B,2, FALSE)</f>
        <v>2</v>
      </c>
    </row>
    <row r="2" spans="1:9" ht="23" thickBot="1">
      <c r="A2" s="710" t="str">
        <f>VLOOKUP("冒險的英雄 鎮民的勇士 崔斯特姆保護者", Data!$B:$D,H1, FALSE)</f>
        <v>冒险的英雄 镇民的勇士 崔斯特姆保护者</v>
      </c>
      <c r="B2" s="711"/>
      <c r="C2" s="711"/>
      <c r="D2" s="711"/>
      <c r="E2" s="711"/>
      <c r="F2" s="712"/>
    </row>
    <row r="3" spans="1:9">
      <c r="A3" s="79" t="s">
        <v>6777</v>
      </c>
    </row>
    <row r="4" spans="1:9" ht="17" thickBot="1">
      <c r="A4" s="79" t="s">
        <v>6778</v>
      </c>
    </row>
    <row r="5" spans="1:9">
      <c r="A5" s="478" t="s">
        <v>652</v>
      </c>
      <c r="B5" s="478" t="s">
        <v>6773</v>
      </c>
      <c r="C5" s="679" t="s">
        <v>6776</v>
      </c>
      <c r="D5" s="481" t="s">
        <v>652</v>
      </c>
      <c r="E5" s="478" t="s">
        <v>6773</v>
      </c>
      <c r="F5" s="679" t="s">
        <v>6776</v>
      </c>
    </row>
    <row r="6" spans="1:9" ht="17.399999999999999" customHeight="1">
      <c r="A6" s="142" t="str">
        <f>VLOOKUP("寒冰夜翼", Data!$B:$D,H1,FALSE)</f>
        <v>冰之夜翼</v>
      </c>
      <c r="B6" s="81" t="str">
        <f>VLOOKUP("迷宮第7層", Data!$B:$D,H1,FALSE)</f>
        <v>迷宫七层</v>
      </c>
      <c r="C6" s="84"/>
      <c r="D6" s="85" t="str">
        <f>VLOOKUP("烈火金荒", Data!$B:$D,H1,FALSE)</f>
        <v>火之金翼</v>
      </c>
      <c r="E6" s="81" t="str">
        <f>VLOOKUP("迷宮第10層", Data!$B:$D,H1,FALSE)</f>
        <v>迷宫十层</v>
      </c>
      <c r="F6" s="84"/>
      <c r="I6" s="79"/>
    </row>
    <row r="7" spans="1:9" ht="17.399999999999999" customHeight="1">
      <c r="A7" s="142" t="str">
        <f>VLOOKUP("邪觸", Data!$B:$D,H1,FALSE)</f>
        <v>邪触</v>
      </c>
      <c r="B7" s="81" t="str">
        <f>VLOOKUP("迷宮第12層", Data!$B:$D,H1,FALSE)</f>
        <v>迷宫十二层</v>
      </c>
      <c r="C7" s="84"/>
      <c r="D7" s="85" t="str">
        <f>VLOOKUP("奴隸主惡沫", Data!$B:$D,H1,FALSE)</f>
        <v>拜弗洛斯·深渊领主</v>
      </c>
      <c r="E7" s="81" t="str">
        <f>VLOOKUP("迷宮第6層", Data!$B:$D,H1,FALSE)</f>
        <v>迷宫六层</v>
      </c>
      <c r="F7" s="84"/>
      <c r="I7" s="79"/>
    </row>
    <row r="8" spans="1:9" ht="17.399999999999999" customHeight="1">
      <c r="A8" s="142" t="str">
        <f>VLOOKUP("污泥男爵", Data!$B:$D,H1,FALSE)</f>
        <v>污泥男爵</v>
      </c>
      <c r="B8" s="81" t="str">
        <f>VLOOKUP("迷宮第8層", Data!$B:$D,H1,FALSE)</f>
        <v>迷宫八层</v>
      </c>
      <c r="C8" s="84"/>
      <c r="D8" s="85" t="str">
        <f>VLOOKUP("膿涎", Data!$B:$D,H1,FALSE)</f>
        <v>渗脓</v>
      </c>
      <c r="E8" s="81" t="str">
        <f>VLOOKUP("迷宮第9層", Data!$B:$D,H1,FALSE)</f>
        <v>迷宫九层</v>
      </c>
      <c r="F8" s="84"/>
      <c r="I8" s="79"/>
    </row>
    <row r="9" spans="1:9" ht="17.399999999999999" customHeight="1">
      <c r="A9" s="142" t="str">
        <f>VLOOKUP("影鴉", Data!$B:$D,H1,FALSE)</f>
        <v>影鸦</v>
      </c>
      <c r="B9" s="81" t="str">
        <f>VLOOKUP("迷宮第5層", Data!$B:$D,H1,FALSE)</f>
        <v>迷宫五层</v>
      </c>
      <c r="C9" s="84"/>
      <c r="D9" s="85" t="str">
        <f>VLOOKUP("噴涕", Data!$B:$D,H1,FALSE)</f>
        <v>鼻屎</v>
      </c>
      <c r="E9" s="81" t="str">
        <f>VLOOKUP("迷宮第4層", Data!$B:$D,H1,FALSE)</f>
        <v>迷宫四层</v>
      </c>
      <c r="F9" s="84" t="s">
        <v>6774</v>
      </c>
      <c r="I9" s="79"/>
    </row>
    <row r="10" spans="1:9" ht="17.399999999999999" customHeight="1">
      <c r="A10" s="142" t="str">
        <f>VLOOKUP("妖邪之翼", Data!$B:$D,H1,FALSE)</f>
        <v>邪翼</v>
      </c>
      <c r="B10" s="81" t="str">
        <f>VLOOKUP("迷宮第5層", Data!$B:$D,H1,FALSE)</f>
        <v>迷宫五层</v>
      </c>
      <c r="C10" s="84"/>
      <c r="D10" s="85" t="str">
        <f>VLOOKUP("孱弱的賈巴德", Data!$B:$D,H1,FALSE)</f>
        <v>虚弱的贾巴德</v>
      </c>
      <c r="E10" s="81" t="str">
        <f>VLOOKUP("迷宮第4層", Data!$B:$D,H1,FALSE)</f>
        <v>迷宫四层</v>
      </c>
      <c r="F10" s="84" t="s">
        <v>6774</v>
      </c>
      <c r="I10" s="79"/>
    </row>
    <row r="11" spans="1:9" ht="17.399999999999999" customHeight="1">
      <c r="A11" s="142" t="str">
        <f>VLOOKUP("亡影·肉擊", Data!$B:$D,H1,FALSE)</f>
        <v>死亡之影·肉锤</v>
      </c>
      <c r="B11" s="81" t="str">
        <f>VLOOKUP("迷宮第6層", Data!$B:$D,H1,FALSE)</f>
        <v>迷宫六层</v>
      </c>
      <c r="C11" s="84"/>
      <c r="D11" s="85" t="str">
        <f>VLOOKUP("血腥撕腸者", Data!$B:$D,H1,FALSE)</f>
        <v>刨脏</v>
      </c>
      <c r="E11" s="81" t="str">
        <f>VLOOKUP("迷宮第6層", Data!$B:$D,H1,FALSE)</f>
        <v>迷宫六层</v>
      </c>
      <c r="F11" s="84"/>
      <c r="I11" s="79"/>
    </row>
    <row r="12" spans="1:9" ht="17.399999999999999" customHeight="1">
      <c r="A12" s="142" t="str">
        <f>VLOOKUP("疫角·鋼鎚", Data!$B:$D,H1,FALSE)</f>
        <v>病角·钢锤</v>
      </c>
      <c r="B12" s="81" t="str">
        <f>VLOOKUP("迷宮第7層", Data!$B:$D,H1,FALSE)</f>
        <v>迷宫七层</v>
      </c>
      <c r="C12" s="84"/>
      <c r="D12" s="85" t="str">
        <f>VLOOKUP("血膚·暗弓", Data!$B:$D,H1,FALSE)</f>
        <v>血皮·暗弓</v>
      </c>
      <c r="E12" s="81" t="str">
        <f>VLOOKUP("迷宮第5層", Data!$B:$D,H1,FALSE)</f>
        <v>迷宫五层</v>
      </c>
      <c r="F12" s="84"/>
      <c r="I12" s="79"/>
    </row>
    <row r="13" spans="1:9" ht="17.399999999999999" customHeight="1">
      <c r="A13" s="142" t="str">
        <f>VLOOKUP("腥岩", Data!$B:$D,H1,FALSE)</f>
        <v>血肉石</v>
      </c>
      <c r="B13" s="81" t="str">
        <f>VLOOKUP("迷宮第7層", Data!$B:$D,H1,FALSE)</f>
        <v>迷宫七层</v>
      </c>
      <c r="C13" s="84"/>
      <c r="D13" s="85" t="str">
        <f>VLOOKUP("狂法師扎爾", Data!$B:$D,H1,FALSE)</f>
        <v>疯狂的扎尔</v>
      </c>
      <c r="E13" s="81" t="str">
        <f>VLOOKUP("迷宮第8層", Data!$B:$D,H1,FALSE)</f>
        <v>迷宫八层</v>
      </c>
      <c r="F13" s="84" t="s">
        <v>6774</v>
      </c>
      <c r="I13" s="79"/>
    </row>
    <row r="14" spans="1:9" ht="17.399999999999999" customHeight="1">
      <c r="A14" s="142" t="str">
        <f>VLOOKUP("首相", Data!$B:$D,H1,FALSE)</f>
        <v>维兹尔</v>
      </c>
      <c r="B14" s="81" t="str">
        <f>VLOOKUP("迷宮第15層", Data!$B:$D,H1,FALSE)</f>
        <v>迷宫十五层</v>
      </c>
      <c r="C14" s="84" t="s">
        <v>6827</v>
      </c>
      <c r="D14" s="85" t="str">
        <f>VLOOKUP("破脊", Data!$B:$D,H1,FALSE)</f>
        <v>断脊</v>
      </c>
      <c r="E14" s="81" t="str">
        <f>VLOOKUP("迷宮第9層", Data!$B:$D,H1,FALSE)</f>
        <v>迷宫九层</v>
      </c>
      <c r="F14" s="84"/>
      <c r="I14" s="79"/>
    </row>
    <row r="15" spans="1:9" ht="17.399999999999999" customHeight="1">
      <c r="A15" s="142" t="str">
        <f>VLOOKUP("青角", Data!$B:$D,H1,FALSE)</f>
        <v>蓝角</v>
      </c>
      <c r="B15" s="81" t="str">
        <f>VLOOKUP("迷宮第11層", Data!$B:$D,H1,FALSE)</f>
        <v>迷宫十一层</v>
      </c>
      <c r="C15" s="84"/>
      <c r="D15" s="85" t="str">
        <f>VLOOKUP("黑暗風暴", Data!$B:$D,H1,FALSE)</f>
        <v>黑色风暴</v>
      </c>
      <c r="E15" s="81" t="str">
        <f>VLOOKUP("迷宮第10層", Data!$B:$D,H1,FALSE)</f>
        <v>迷宫十层</v>
      </c>
      <c r="F15" s="84"/>
      <c r="I15" s="79"/>
    </row>
    <row r="16" spans="1:9" ht="17.399999999999999" customHeight="1">
      <c r="A16" s="142" t="str">
        <f>VLOOKUP("厲傷·兇火", Data!$B:$D,H1,FALSE)</f>
        <v>火伤·凶魔</v>
      </c>
      <c r="B16" s="81" t="str">
        <f>VLOOKUP("迷宮第8層", Data!$B:$D,H1,FALSE)</f>
        <v>迷宫八层</v>
      </c>
      <c r="C16" s="84"/>
      <c r="D16" s="85" t="str">
        <f>VLOOKUP("破顱·搥盾", Data!$B:$D,H1,FALSE)</f>
        <v>碎颅·猛盾</v>
      </c>
      <c r="E16" s="81" t="str">
        <f>VLOOKUP("迷宮第3層", Data!$B:$D,H1,FALSE)</f>
        <v>迷宫三层</v>
      </c>
      <c r="F16" s="84"/>
      <c r="I16" s="79"/>
    </row>
    <row r="17" spans="1:9" ht="17.399999999999999" customHeight="1">
      <c r="A17" s="142" t="str">
        <f>VLOOKUP("獅顱", Data!$B:$D,H1,FALSE)</f>
        <v>狮颅</v>
      </c>
      <c r="B17" s="81" t="str">
        <f>VLOOKUP("迷宮第12層", Data!$B:$D,H1,FALSE)</f>
        <v>迷宫十二层</v>
      </c>
      <c r="C17" s="84"/>
      <c r="D17" s="85" t="str">
        <f>VLOOKUP("殺戮者葛雷瓦", Data!$B:$D,H1,FALSE)</f>
        <v>格雷沃·屠杀者</v>
      </c>
      <c r="E17" s="81" t="str">
        <f>VLOOKUP("迷宮第14層", Data!$B:$D,H1,FALSE)</f>
        <v>迷宫十四层</v>
      </c>
      <c r="F17" s="84"/>
      <c r="I17" s="79"/>
    </row>
    <row r="18" spans="1:9" ht="17.399999999999999" customHeight="1">
      <c r="A18" s="142" t="str">
        <f>VLOOKUP("織鏽者", Data!$B:$D,H1,FALSE)</f>
        <v>骨锈编织着</v>
      </c>
      <c r="B18" s="81" t="str">
        <f>VLOOKUP("迷宮第13層", Data!$B:$D,H1,FALSE)</f>
        <v>迷宫十三层</v>
      </c>
      <c r="C18" s="84"/>
      <c r="D18" s="85" t="str">
        <f>VLOOKUP("獵人鋼顱", Data!$B:$D,H1,FALSE)</f>
        <v>钢颅·猎杀者</v>
      </c>
      <c r="E18" s="81" t="str">
        <f>VLOOKUP("迷宮第14層", Data!$B:$D,H1,FALSE)</f>
        <v>迷宫十四层</v>
      </c>
      <c r="F18" s="84"/>
      <c r="I18" s="79"/>
    </row>
    <row r="19" spans="1:9" ht="17.399999999999999" customHeight="1">
      <c r="A19" s="142" t="str">
        <f>VLOOKUP("血之霸主", Data!$B:$D,H1,FALSE)</f>
        <v>鲜血战神</v>
      </c>
      <c r="B19" s="81" t="str">
        <f>VLOOKUP("迷宮第13層", Data!$B:$D,H1,FALSE)</f>
        <v>迷宫十三层</v>
      </c>
      <c r="C19" s="84" t="s">
        <v>6774</v>
      </c>
      <c r="D19" s="85" t="str">
        <f>VLOOKUP("哥羅許爵士", Data!$B:$D,H1,FALSE)</f>
        <v>格拉什爵士</v>
      </c>
      <c r="E19" s="81" t="str">
        <f>VLOOKUP("迷宮第16層", Data!$B:$D,H1,FALSE)</f>
        <v>迷宫十六层</v>
      </c>
      <c r="F19" s="84" t="s">
        <v>6774</v>
      </c>
      <c r="I19" s="79"/>
    </row>
    <row r="20" spans="1:9" ht="17.399999999999999" customHeight="1">
      <c r="A20" s="142" t="str">
        <f>VLOOKUP("狂眼亡骨", Data!$B:$D,H1,FALSE)</f>
        <v>疯眼·亡魂</v>
      </c>
      <c r="B20" s="81" t="str">
        <f>VLOOKUP("迷宮第3層", Data!$B:$D,H1,FALSE)</f>
        <v>迷宫三层</v>
      </c>
      <c r="C20" s="84"/>
      <c r="D20" s="85" t="str">
        <f>VLOOKUP("燃火焦灰", Data!$B:$D,H1,FALSE)</f>
        <v>黑灰·火躯</v>
      </c>
      <c r="E20" s="81" t="str">
        <f>VLOOKUP("迷宮第4層", Data!$B:$D,H1,FALSE)</f>
        <v>迷宫四层</v>
      </c>
      <c r="F20" s="84"/>
      <c r="I20" s="79"/>
    </row>
    <row r="21" spans="1:9" ht="17.399999999999999" customHeight="1">
      <c r="A21" s="142" t="str">
        <f>VLOOKUP("毒矛之牙", Data!$B:$D,H1,FALSE)</f>
        <v>蟠蛇牙</v>
      </c>
      <c r="B21" s="81" t="str">
        <f>VLOOKUP("迷宮第11層", Data!$B:$D,H1,FALSE)</f>
        <v>迷宫十一层</v>
      </c>
      <c r="C21" s="84"/>
      <c r="D21" s="85" t="str">
        <f>VLOOKUP("毒蛇之焰", Data!$B:$D,H1,FALSE)</f>
        <v>毒焰</v>
      </c>
      <c r="E21" s="81" t="str">
        <f>VLOOKUP("迷宮第12層", Data!$B:$D,H1,FALSE)</f>
        <v>迷宫十二层</v>
      </c>
      <c r="F21" s="84"/>
      <c r="I21" s="79"/>
    </row>
    <row r="22" spans="1:9" ht="17.399999999999999" customHeight="1">
      <c r="A22" s="142" t="str">
        <f>VLOOKUP("巫異之月", Data!$B:$D,H1,FALSE)</f>
        <v>巫月</v>
      </c>
      <c r="B22" s="81" t="str">
        <f>VLOOKUP("迷宮第13層", Data!$B:$D,H1,FALSE)</f>
        <v>迷宫十三层</v>
      </c>
      <c r="C22" s="84"/>
      <c r="D22" s="85" t="str">
        <f>VLOOKUP("黑玉", Data!$B:$D,H1,FALSE)</f>
        <v>黑玉</v>
      </c>
      <c r="E22" s="81" t="str">
        <f>VLOOKUP("穢邪祭壇", Data!$B:$D,H1,FALSE)</f>
        <v>不洁祭坛</v>
      </c>
      <c r="F22" s="84" t="s">
        <v>6774</v>
      </c>
      <c r="I22" s="79"/>
    </row>
    <row r="23" spans="1:9" ht="17.399999999999999" customHeight="1">
      <c r="A23" s="142" t="str">
        <f>VLOOKUP("紅怨", Data!$B:$D,H1,FALSE)</f>
        <v>红色暴戾</v>
      </c>
      <c r="B23" s="81" t="str">
        <f>VLOOKUP("穢邪祭壇", Data!$B:$D,H1,FALSE)</f>
        <v>不洁祭坛</v>
      </c>
      <c r="C23" s="84" t="s">
        <v>6774</v>
      </c>
      <c r="D23" s="85" t="str">
        <f>VLOOKUP("星眼女巫", Data!$B:$D,H1,FALSE)</f>
        <v>星眼·女魔</v>
      </c>
      <c r="E23" s="81" t="str">
        <f>VLOOKUP("迷宮第14層", Data!$B:$D,H1,FALSE)</f>
        <v>迷宫十四层</v>
      </c>
      <c r="F23" s="84"/>
    </row>
    <row r="24" spans="1:9" ht="17.399999999999999" customHeight="1">
      <c r="A24" s="142" t="str">
        <f>VLOOKUP("破碎風暴", Data!$B:$D,H1,FALSE)</f>
        <v>破碎风暴</v>
      </c>
      <c r="B24" s="81" t="str">
        <f>VLOOKUP("迷宮第9層", Data!$B:$D,H1,FALSE)</f>
        <v>迷宫九层</v>
      </c>
      <c r="C24" s="84"/>
      <c r="D24" s="85" t="str">
        <f>VLOOKUP("剝皮者", Data!$B:$D,H1,FALSE)</f>
        <v>扒皮</v>
      </c>
      <c r="E24" s="81" t="str">
        <f>VLOOKUP("迷宮第10層", Data!$B:$D,H1,FALSE)</f>
        <v>迷宫十层</v>
      </c>
      <c r="F24" s="84"/>
    </row>
    <row r="25" spans="1:9" ht="17.399999999999999" customHeight="1" thickBot="1">
      <c r="A25" s="143" t="str">
        <f>VLOOKUP("影噬", Data!$B:$D,H1,FALSE)</f>
        <v>影咬</v>
      </c>
      <c r="B25" s="87" t="str">
        <f>VLOOKUP("迷宮第2層", Data!$B:$D,H1,FALSE)</f>
        <v>迷宮二层</v>
      </c>
      <c r="C25" s="164"/>
      <c r="D25" s="89" t="str">
        <f>VLOOKUP("飢餓的腐宴", Data!$B:$D,H1,FALSE)</f>
        <v>饥饿的食腐狂</v>
      </c>
      <c r="E25" s="87" t="str">
        <f>VLOOKUP("迷宮第2層", Data!$B:$D,H1,FALSE)</f>
        <v>迷宮二层</v>
      </c>
      <c r="F25" s="164"/>
    </row>
    <row r="28" spans="1:9">
      <c r="B28" s="79"/>
    </row>
    <row r="29" spans="1:9">
      <c r="B29" s="79"/>
    </row>
    <row r="30" spans="1:9">
      <c r="B30" s="79"/>
    </row>
  </sheetData>
  <mergeCells count="1">
    <mergeCell ref="A2:F2"/>
  </mergeCells>
  <phoneticPr fontId="7" type="noConversion"/>
  <dataValidations count="1">
    <dataValidation type="list" allowBlank="1" showInputMessage="1" showErrorMessage="1" sqref="G1" xr:uid="{00000000-0002-0000-0200-000000000000}">
      <formula1>"繁體中文,简体中文"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9"/>
  <sheetViews>
    <sheetView workbookViewId="0">
      <pane ySplit="1" topLeftCell="A2" activePane="bottomLeft" state="frozen"/>
      <selection pane="bottomLeft"/>
    </sheetView>
  </sheetViews>
  <sheetFormatPr defaultColWidth="8.9140625" defaultRowHeight="16.5"/>
  <cols>
    <col min="1" max="1" width="15.58203125" style="75" customWidth="1"/>
    <col min="2" max="2" width="5.58203125" style="75" customWidth="1"/>
    <col min="3" max="3" width="25.58203125" style="75" customWidth="1"/>
    <col min="4" max="4" width="15.58203125" style="75" customWidth="1"/>
    <col min="5" max="5" width="5.58203125" style="75" customWidth="1"/>
    <col min="6" max="6" width="25.58203125" style="75" customWidth="1"/>
    <col min="7" max="10" width="9" style="75" customWidth="1"/>
    <col min="11" max="16384" width="8.9140625" style="75"/>
  </cols>
  <sheetData>
    <row r="1" spans="1:8" ht="17" thickBot="1">
      <c r="A1" s="73" t="s">
        <v>2023</v>
      </c>
      <c r="B1" s="74" t="s">
        <v>2027</v>
      </c>
      <c r="F1" s="76" t="s">
        <v>2021</v>
      </c>
      <c r="G1" s="573" t="s">
        <v>3676</v>
      </c>
      <c r="H1" s="319">
        <f>VLOOKUP(G1,Data!$A:$B,2, FALSE)</f>
        <v>2</v>
      </c>
    </row>
    <row r="2" spans="1:8" ht="23" thickBot="1">
      <c r="A2" s="722" t="str">
        <f>VLOOKUP("稀有現象", Data!$B:$D,H1, FALSE)</f>
        <v>罕见现象</v>
      </c>
      <c r="B2" s="723"/>
      <c r="C2" s="723"/>
      <c r="D2" s="723"/>
      <c r="E2" s="723"/>
      <c r="F2" s="724"/>
      <c r="G2" s="75" t="str">
        <f>"&lt;-配合"&amp;VLOOKUP("死敵護腕", Data!$B:$D,H1, FALSE)&amp;"可以快速完成"</f>
        <v>&lt;-配合复仇者护腕可以快速完成</v>
      </c>
    </row>
    <row r="3" spans="1:8">
      <c r="A3" s="75" t="s">
        <v>31</v>
      </c>
    </row>
    <row r="4" spans="1:8" s="73" customFormat="1">
      <c r="A4" s="474" t="s">
        <v>3950</v>
      </c>
      <c r="B4" s="474" t="s">
        <v>3951</v>
      </c>
      <c r="C4" s="475" t="s">
        <v>27</v>
      </c>
      <c r="D4" s="476" t="s">
        <v>3950</v>
      </c>
      <c r="E4" s="474" t="s">
        <v>3951</v>
      </c>
      <c r="F4" s="477" t="s">
        <v>3952</v>
      </c>
      <c r="G4" s="473"/>
    </row>
    <row r="5" spans="1:8" ht="34.5" customHeight="1">
      <c r="A5" s="80" t="str">
        <f>VLOOKUP("兇暴蠻牛獸", Data!$B:$D,H1, FALSE)</f>
        <v>蛮牛怪</v>
      </c>
      <c r="B5" s="81" t="s">
        <v>26</v>
      </c>
      <c r="C5" s="82" t="str">
        <f>VLOOKUP("悲慘之原", Data!$B:$D,H1, FALSE)&amp;CHAR(10)&amp;VLOOKUP("南部高地", Data!$B:$D,H1, FALSE)</f>
        <v>苦难旷野
南方高地</v>
      </c>
      <c r="D5" s="83" t="str">
        <f>VLOOKUP("屍塊收割者", Data!$B:$D,H1, FALSE)</f>
        <v>收割魔</v>
      </c>
      <c r="E5" s="81" t="s">
        <v>26</v>
      </c>
      <c r="F5" s="84" t="str">
        <f>VLOOKUP("大教堂第四層", Data!$B:$D,H1, FALSE)</f>
        <v>大教堂四层</v>
      </c>
      <c r="G5" s="79"/>
    </row>
    <row r="6" spans="1:8" ht="29">
      <c r="A6" s="80" t="str">
        <f>VLOOKUP("魔嬰", Data!$B:$D,H1, FALSE)</f>
        <v>顽魔</v>
      </c>
      <c r="B6" s="81" t="s">
        <v>26</v>
      </c>
      <c r="C6" s="84" t="str">
        <f>VLOOKUP("荒棄墓園-被褻瀆的墓穴", Data!$B:$D,H1, FALSE)</f>
        <v>荒废的墓地-污秽的墓穴</v>
      </c>
      <c r="D6" s="85" t="str">
        <f>VLOOKUP("狂怒幽靈", Data!$B:$D,H1, FALSE)</f>
        <v>激怒的厉魂</v>
      </c>
      <c r="E6" s="81" t="s">
        <v>26</v>
      </c>
      <c r="F6" s="82" t="str">
        <f>VLOOKUP("悲慘之原-腐朽的墓穴第一層",Data!$B:$D,H1,FALSE)
&amp;CHAR(10)&amp;VLOOKUP("腐潰之林", Data!$B:$D,H1, FALSE)&amp;"（只能靠护腕刷出）"</f>
        <v>苦难旷野-腐烂墓穴一层
烂木林（只能靠护腕刷出）</v>
      </c>
      <c r="G6" s="79"/>
    </row>
    <row r="7" spans="1:8" ht="29">
      <c r="A7" s="80" t="str">
        <f>VLOOKUP("兇殘魔", Data!$B:$D,H1, FALSE)</f>
        <v>凶残魔</v>
      </c>
      <c r="B7" s="81" t="s">
        <v>26</v>
      </c>
      <c r="C7" s="84" t="str">
        <f>VLOOKUP("詛咒監牢", Data!$B:$D,H1, FALSE)</f>
        <v>诅咒监牢</v>
      </c>
      <c r="D7" s="85" t="str">
        <f>VLOOKUP("刺針惡魔", Data!$B:$D,H1, FALSE)</f>
        <v>刺脊怪</v>
      </c>
      <c r="E7" s="81" t="s">
        <v>26</v>
      </c>
      <c r="F7" s="82" t="str">
        <f>VLOOKUP("悲慘之原-食腐獸窩巢", Data!$B:$D,H1, FALSE)
&amp;CHAR(10)&amp;VLOOKUP("悲慘之原-失落礦洞", Data!$B:$D,H1, FALSE)</f>
        <v xml:space="preserve">苦难旷野-食腐魔洞穴
苦难旷野-失落矿洞 </v>
      </c>
      <c r="G7" s="79"/>
    </row>
    <row r="8" spans="1:8" ht="72.5">
      <c r="A8" s="80" t="str">
        <f>VLOOKUP("食腐獸", Data!$B:$D,H1, FALSE)</f>
        <v>食腐魔</v>
      </c>
      <c r="B8" s="81" t="s">
        <v>26</v>
      </c>
      <c r="C8" s="82" t="str">
        <f>VLOOKUP("悲泣荒原", Data!$B:$D,H1, FALSE)
&amp;CHAR(10)&amp;VLOOKUP("荒棄墓園-被褻瀆的墓穴", Data!$B:$D,H1, FALSE)</f>
        <v>哭泣山谷
荒废的墓地-污秽的墓穴</v>
      </c>
      <c r="D8" s="85" t="str">
        <f>VLOOKUP("骷髏", Data!$B:$D,H1, FALSE)</f>
        <v>骷髅</v>
      </c>
      <c r="E8" s="81" t="s">
        <v>26</v>
      </c>
      <c r="F8" s="82" t="str">
        <f>VLOOKUP("荒棄墓園", Data!$B:$D,H1, FALSE)
&amp;CHAR(10)&amp;VLOOKUP("荒棄墓園-被褻瀆的墓穴", Data!$B:$D,H1, FALSE)
&amp;CHAR(10)&amp;VLOOKUP("大教堂第二層", Data!$B:$D,H1, FALSE)
&amp;CHAR(10)&amp;VLOOKUP("大教堂第三層", Data!$B:$D,H1, FALSE)
&amp;CHAR(10)&amp;VLOOKUP("大教堂第四層", Data!$B:$D,H1, FALSE)</f>
        <v>荒废的墓地
荒废的墓地-污秽的墓穴
大教堂二层
大教堂三层
大教堂四层</v>
      </c>
      <c r="G8" s="79"/>
    </row>
    <row r="9" spans="1:8" ht="43.5">
      <c r="A9" s="80" t="str">
        <f>VLOOKUP("骷髏弓箭手", Data!$B:$D,H1, FALSE)</f>
        <v>骷髅弓手</v>
      </c>
      <c r="B9" s="81" t="s">
        <v>26</v>
      </c>
      <c r="C9" s="84" t="str">
        <f>VLOOKUP("大教堂第四層", Data!$B:$D,H1, FALSE)</f>
        <v>大教堂四层</v>
      </c>
      <c r="D9" s="85" t="str">
        <f>VLOOKUP("返世亡靈弓箭手", Data!$B:$D,H1, FALSE)</f>
        <v>转生弓手</v>
      </c>
      <c r="E9" s="81" t="s">
        <v>26</v>
      </c>
      <c r="F9" s="82" t="str">
        <f>VLOOKUP("腐潰之林", Data!$B:$D,H1, FALSE)
&amp;CHAR(10)&amp;VLOOKUP("腐潰之林-勇士之陵", Data!$B:$D,H1, FALSE)
&amp;CHAR(10)&amp;VLOOKUP("南部高地-瞭望塔", Data!$B:$D,H1, FALSE)</f>
        <v>烂木林
烂木林-勇士之陵
南方高地-高地哨塔</v>
      </c>
      <c r="G9" s="79"/>
    </row>
    <row r="10" spans="1:8" ht="29">
      <c r="A10" s="80" t="str">
        <f>VLOOKUP("恐蛛", Data!$B:$D,H1, FALSE)</f>
        <v>恐蛛</v>
      </c>
      <c r="B10" s="81" t="s">
        <v>26</v>
      </c>
      <c r="C10" s="84" t="str">
        <f>VLOOKUP("艾瑞妮洞窟", Data!$B:$D,H1, FALSE)</f>
        <v>蛛后洞窟</v>
      </c>
      <c r="D10" s="85" t="str">
        <f>VLOOKUP("黑暗狂暴者", Data!$B:$D,H1, FALSE)</f>
        <v>黑暗狂暴者</v>
      </c>
      <c r="E10" s="81" t="s">
        <v>26</v>
      </c>
      <c r="F10" s="82" t="str">
        <f>VLOOKUP("李奧瑞克狩獵場-高地洞穴", Data!$B:$D,H1, FALSE)
&amp;CHAR(10)&amp;VLOOKUP("苦痛刑牢", Data!$B:$D,H1, FALSE)</f>
        <v>李奧瑞克的狩猎场-高地洞穴
苦痛大厅</v>
      </c>
      <c r="G10" s="79"/>
    </row>
    <row r="11" spans="1:8" ht="114" customHeight="1">
      <c r="A11" s="80" t="str">
        <f>VLOOKUP("黑暗教徒", Data!$B:$D,H1, FALSE)</f>
        <v>黑暗邪教徒</v>
      </c>
      <c r="B11" s="81" t="s">
        <v>26</v>
      </c>
      <c r="C11" s="82" t="str">
        <f>VLOOKUP("南部高地-瞭望塔/書院", Data!$B:$D,H1, FALSE)
&amp;CHAR(10)&amp;VLOOKUP("李奧瑞克狩獵場", Data!$B:$D,H1, FALSE)
&amp;CHAR(10)&amp;VLOOKUP("李奧瑞克狩獵場-高地洞穴", Data!$B:$D,H1, FALSE)
&amp;CHAR(10)&amp;VLOOKUP("李奧瑞克宅邸前庭", Data!$B:$D,H1, FALSE)
&amp;CHAR(10)&amp;VLOOKUP("苦痛刑牢", Data!$B:$D,H1, FALSE)</f>
        <v>南方高地-高地哨塔/传教所
李奧瑞克的狩猎场
李奧瑞克的狩猎场-高地洞穴
李奧瑞克庄园庭院
苦痛大厅</v>
      </c>
      <c r="D11" s="85" t="str">
        <f>VLOOKUP("穢邪奴僕", Data!$B:$D,H1, FALSE)</f>
        <v>不洁的奴役体</v>
      </c>
      <c r="E11" s="81" t="s">
        <v>26</v>
      </c>
      <c r="F11" s="82" t="str">
        <f>VLOOKUP("李奧瑞克狩獵場-高地洞穴", Data!$B:$D,H1, FALSE)
&amp;CHAR(10)&amp;VLOOKUP("苦痛刑牢", Data!$B:$D,H1, FALSE)</f>
        <v>李奧瑞克的狩猎场-高地洞穴
苦痛大厅</v>
      </c>
      <c r="G11" s="79" t="s">
        <v>28</v>
      </c>
    </row>
    <row r="12" spans="1:8" ht="29">
      <c r="A12" s="80" t="str">
        <f>VLOOKUP("掘墓屍魔", Data!$B:$D,H1, FALSE)</f>
        <v>无殓巨尸</v>
      </c>
      <c r="B12" s="81" t="s">
        <v>26</v>
      </c>
      <c r="C12" s="84" t="str">
        <f>VLOOKUP("苦痛刑牢", Data!$B:$D,H1, FALSE)</f>
        <v>苦痛大厅</v>
      </c>
      <c r="D12" s="85" t="str">
        <f>VLOOKUP("飢餓的殭屍", Data!$B:$D,H1, FALSE)</f>
        <v>饥饿的行尸</v>
      </c>
      <c r="E12" s="81" t="s">
        <v>26</v>
      </c>
      <c r="F12" s="82" t="str">
        <f>VLOOKUP("悲泣荒原", Data!$B:$D,H1, FALSE)
&amp;CHAR(10)&amp;VLOOKUP("荒棄墓園-被褻瀆的墓穴", Data!$B:$D,H1, FALSE)</f>
        <v>哭泣山谷
荒废的墓地-污秽的墓穴</v>
      </c>
      <c r="G12" s="79"/>
    </row>
    <row r="13" spans="1:8" ht="44" thickBot="1">
      <c r="A13" s="86" t="str">
        <f>VLOOKUP("嘔吐女屍", Data!$B:$D,H1, FALSE)</f>
        <v>呕吐的女尸</v>
      </c>
      <c r="B13" s="87" t="s">
        <v>26</v>
      </c>
      <c r="C13" s="88" t="str">
        <f>VLOOKUP("悲泣荒原", Data!$B:$D,H1, FALSE)
&amp;CHAR(10)&amp;VLOOKUP("荒棄墓園-被褻瀆的墓穴", Data!$B:$D,H1, FALSE)</f>
        <v>哭泣山谷
荒废的墓地-污秽的墓穴</v>
      </c>
      <c r="D13" s="89" t="str">
        <f>VLOOKUP("飢餓的死者", Data!$B:$D,H1, FALSE)</f>
        <v>恶馋亡灵</v>
      </c>
      <c r="E13" s="87" t="s">
        <v>26</v>
      </c>
      <c r="F13" s="88" t="str">
        <f>VLOOKUP("大教堂第一層", Data!$B:$D,H1, FALSE)
&amp;CHAR(10)&amp;VLOOKUP("悲泣荒原", Data!$B:$D,H1, FALSE)
&amp;CHAR(10)&amp;VLOOKUP("荒棄墓園-被褻瀆的墓穴", Data!$B:$D,H1, FALSE)</f>
        <v>大教堂一层
哭泣山谷
荒废的墓地-污秽的墓穴</v>
      </c>
      <c r="G13" s="79"/>
    </row>
    <row r="14" spans="1:8" ht="43.5">
      <c r="A14" s="90" t="str">
        <f>VLOOKUP("沙丘刃妖", Data!$B:$D,H1, FALSE)</f>
        <v>沙丘魔煞</v>
      </c>
      <c r="B14" s="91" t="s">
        <v>0</v>
      </c>
      <c r="C14" s="92" t="str">
        <f>VLOOKUP("達厄古綠洲", Data!$B:$D,H1, FALSE)</f>
        <v>达尔格绿洲</v>
      </c>
      <c r="D14" s="93" t="str">
        <f>VLOOKUP("沉淪魔督軍", Data!$B:$D,H1, FALSE)</f>
        <v>堕落监工</v>
      </c>
      <c r="E14" s="91" t="s">
        <v>0</v>
      </c>
      <c r="F14" s="94" t="str">
        <f>VLOOKUP("嚎泣高原", Data!$B:$D,H1, FALSE)
&amp;CHAR(10)&amp;VLOOKUP("黑谷礦坑", Data!$B:$D,H1, FALSE)
&amp;CHAR(10)&amp;VLOOKUP("刺風沙漠", Data!$B:$D,H1, FALSE)</f>
        <v>凄风苔原
崖山矿场
烈风之地</v>
      </c>
      <c r="G14" s="79"/>
    </row>
    <row r="15" spans="1:8" ht="43.5">
      <c r="A15" s="95" t="str">
        <f>VLOOKUP("沉淪魔", Data!$B:$D,H1, FALSE)</f>
        <v>堕落者</v>
      </c>
      <c r="B15" s="96" t="s">
        <v>0</v>
      </c>
      <c r="C15" s="97" t="str">
        <f>VLOOKUP("嚎泣高原", Data!$B:$D,H1, FALSE)
&amp;CHAR(10)&amp;VLOOKUP("黑谷礦坑", Data!$B:$D,H1, FALSE)
&amp;CHAR(10)&amp;VLOOKUP("刺風沙漠", Data!$B:$D,H1, FALSE)</f>
        <v>凄风苔原
崖山矿场
烈风之地</v>
      </c>
      <c r="D15" s="98" t="str">
        <f>VLOOKUP("沉淪魔苦力", Data!$B:$D,H1, FALSE)</f>
        <v>堕落苦工</v>
      </c>
      <c r="E15" s="96" t="s">
        <v>0</v>
      </c>
      <c r="F15" s="99" t="str">
        <f>VLOOKUP("達厄古綠洲", Data!$B:$D,H1, FALSE)</f>
        <v>达尔格绿洲</v>
      </c>
      <c r="G15" s="79"/>
    </row>
    <row r="16" spans="1:8">
      <c r="A16" s="95" t="str">
        <f>VLOOKUP("沉淪魔兇犬", Data!$B:$D,H1, FALSE)</f>
        <v>堕落犬</v>
      </c>
      <c r="B16" s="96" t="s">
        <v>0</v>
      </c>
      <c r="C16" s="99" t="str">
        <f>VLOOKUP("佐敦庫勒秘庫-風暴長廊", Data!$B:$D,H1, FALSE)</f>
        <v>佐敦·库勒藏书馆-风暴殿堂</v>
      </c>
      <c r="D16" s="98" t="str">
        <f>VLOOKUP("沉淪喚魔師", Data!$B:$D,H1, FALSE)</f>
        <v>堕落巫师</v>
      </c>
      <c r="E16" s="96" t="s">
        <v>0</v>
      </c>
      <c r="F16" s="99" t="str">
        <f>VLOOKUP("達厄古綠洲", Data!$B:$D,H1, FALSE)</f>
        <v>达尔格绿洲</v>
      </c>
      <c r="G16" s="79"/>
    </row>
    <row r="17" spans="1:7" ht="29">
      <c r="A17" s="95" t="str">
        <f>VLOOKUP("叛屍", Data!$B:$D,H1, FALSE)</f>
        <v>背叛者</v>
      </c>
      <c r="B17" s="96" t="s">
        <v>0</v>
      </c>
      <c r="C17" s="97" t="str">
        <f>VLOOKUP("達厄古綠洲-沙爾達陵墓", Data!$B:$D,H1, FALSE)
&amp;CHAR(10)&amp;VLOOKUP("達厄古綠洲-達卡布可汗的陵墓", Data!$B:$D,H1, FALSE)</f>
        <v>达尔格绿洲-萨达尔的墓穴
达尔格绿洲-坎·达卡布的陵墓</v>
      </c>
      <c r="D17" s="98" t="str">
        <f>VLOOKUP("咒虐者", Data!$B:$D,H1, FALSE)</f>
        <v>被诅咒者</v>
      </c>
      <c r="E17" s="96" t="s">
        <v>0</v>
      </c>
      <c r="F17" s="97" t="str">
        <f>VLOOKUP("淒涼沙地", Data!$B:$D,H1, FALSE)
&amp;CHAR(10)&amp;VLOOKUP("東側水道", Data!$B:$D,H1, FALSE)</f>
        <v>凄凉沙漠
东部水渠</v>
      </c>
      <c r="G17" s="79"/>
    </row>
    <row r="18" spans="1:7" ht="58">
      <c r="A18" s="95" t="str">
        <f>VLOOKUP("洞窟飛蝠", Data!$B:$D,H1, FALSE)</f>
        <v>岩洞蝙蝠</v>
      </c>
      <c r="B18" s="96" t="s">
        <v>0</v>
      </c>
      <c r="C18" s="99" t="str">
        <f>VLOOKUP("嚎泣高原-熱風洞窟", Data!$B:$D,H1, FALSE)</f>
        <v>凄风苔原-热风洞窟</v>
      </c>
      <c r="D18" s="98" t="str">
        <f>VLOOKUP("殺狂魔", Data!$B:$D,H1, FALSE)</f>
        <v>凶魔</v>
      </c>
      <c r="E18" s="96" t="s">
        <v>0</v>
      </c>
      <c r="F18" s="97" t="str">
        <f>VLOOKUP("東側水道", Data!$B:$D,H1, FALSE)
&amp;CHAR(10)&amp;VLOOKUP("淒涼沙地-背叛者洞穴", Data!$B:$D,H1, FALSE)
&amp;CHAR(10)&amp;VLOOKUP("淒涼沙地-兇邪的洞穴", Data!$B:$D,H1, FALSE)
&amp;CHAR(10)&amp;VLOOKUP("淒涼沙地-鑽岩蟲洞穴", Data!$B:$D,H1, FALSE)</f>
        <v>东部水渠
凄凉沙漠-背叛者洞穴
凄凉沙漠-邪恶洞窟
凄凉沙漠-掘地骇物的洞穴</v>
      </c>
      <c r="G18" s="79"/>
    </row>
    <row r="19" spans="1:7">
      <c r="A19" s="95" t="str">
        <f>VLOOKUP("兇狠的食屍鬼", Data!$B:$D,H1, FALSE)</f>
        <v>恶毒的食尸鬼</v>
      </c>
      <c r="B19" s="96" t="s">
        <v>0</v>
      </c>
      <c r="C19" s="99" t="str">
        <f>VLOOKUP("嚎泣高原-熱風洞窟", Data!$B:$D,H1, FALSE)</f>
        <v>凄风苔原-热风洞窟</v>
      </c>
      <c r="D19" s="98" t="str">
        <f>VLOOKUP("拉庫尼女獵手", Data!$B:$D,H1, FALSE)</f>
        <v>豹人女猎手</v>
      </c>
      <c r="E19" s="96" t="s">
        <v>0</v>
      </c>
      <c r="F19" s="99" t="str">
        <f>VLOOKUP("嚎泣高原", Data!$B:$D,H1, FALSE)</f>
        <v>凄风苔原</v>
      </c>
      <c r="G19" s="79"/>
    </row>
    <row r="20" spans="1:7">
      <c r="A20" s="95" t="str">
        <f>VLOOKUP("拉庫尼狂刀手", Data!$B:$D,H1, FALSE)</f>
        <v>豹人鞭笞者</v>
      </c>
      <c r="B20" s="96" t="s">
        <v>0</v>
      </c>
      <c r="C20" s="99" t="str">
        <f>VLOOKUP("淒涼沙地", Data!$B:$D,H1, FALSE)</f>
        <v>凄凉沙漠</v>
      </c>
      <c r="D20" s="98" t="str">
        <f>VLOOKUP("沙塵魔嬰", Data!$B:$D,H1, FALSE)</f>
        <v>尘土顽魔</v>
      </c>
      <c r="E20" s="96" t="s">
        <v>0</v>
      </c>
      <c r="F20" s="99" t="str">
        <f>VLOOKUP("刺風沙漠-廢墟", Data!$B:$D,H1, FALSE)</f>
        <v>烈风之地-废墟</v>
      </c>
      <c r="G20" s="79"/>
    </row>
    <row r="21" spans="1:7">
      <c r="A21" s="95" t="str">
        <f>VLOOKUP("沙居岩像", Data!$B:$D,H1, FALSE)</f>
        <v>沙居兽</v>
      </c>
      <c r="B21" s="96" t="s">
        <v>0</v>
      </c>
      <c r="C21" s="99" t="str">
        <f>VLOOKUP("達厄古綠洲-遺忘廢墟", Data!$B:$D,H1, FALSE)</f>
        <v>达尔格绿洲-被遗忘的废墟</v>
      </c>
      <c r="D21" s="98" t="str">
        <f>VLOOKUP("沙岩巨像", Data!$B:$D,H1, FALSE)</f>
        <v>沙漠巨兽</v>
      </c>
      <c r="E21" s="96" t="s">
        <v>0</v>
      </c>
      <c r="F21" s="99" t="str">
        <f>VLOOKUP("佐敦庫勒秘庫-暗影之境", Data!$B:$D,H1, FALSE)</f>
        <v>佐敦·库勒藏书馆-暗影领域</v>
      </c>
      <c r="G21" s="79"/>
    </row>
    <row r="22" spans="1:7">
      <c r="A22" s="95" t="str">
        <f>VLOOKUP("上古沙行怪", Data!$B:$D,H1, FALSE)</f>
        <v>远古行者</v>
      </c>
      <c r="B22" s="96" t="s">
        <v>0</v>
      </c>
      <c r="C22" s="99" t="str">
        <f>VLOOKUP("淒涼沙地", Data!$B:$D,H1, FALSE)</f>
        <v>凄凉沙漠</v>
      </c>
      <c r="D22" s="98" t="str">
        <f>VLOOKUP("收割魔", Data!$B:$D,H1, FALSE)</f>
        <v>收割者</v>
      </c>
      <c r="E22" s="96" t="s">
        <v>0</v>
      </c>
      <c r="F22" s="99" t="str">
        <f>VLOOKUP("淒涼沙地-鑽岩蟲洞穴", Data!$B:$D,H1, FALSE)</f>
        <v>凄凉沙漠-掘地骇物的洞穴</v>
      </c>
      <c r="G22" s="79"/>
    </row>
    <row r="23" spans="1:7" ht="29">
      <c r="A23" s="95" t="str">
        <f>VLOOKUP("骷髏歩哨", Data!$B:$D,H1, FALSE)</f>
        <v>骷髅哨兵</v>
      </c>
      <c r="B23" s="96" t="s">
        <v>0</v>
      </c>
      <c r="C23" s="97" t="str">
        <f>VLOOKUP("卡爾蒂姆下水道", Data!$B:$D,H1, FALSE)
&amp;CHAR(10)&amp;VLOOKUP("達厄古綠洲-遺忘廢墟", Data!$B:$D,H1, FALSE)</f>
        <v>卡尔蒂姆下水道
达尔格绿洲-被遗忘的废墟</v>
      </c>
      <c r="D23" s="98" t="str">
        <f>VLOOKUP("骷髏掠劫者", Data!$B:$D,H1, FALSE)</f>
        <v>骷髅袭击者</v>
      </c>
      <c r="E23" s="96" t="s">
        <v>0</v>
      </c>
      <c r="F23" s="97" t="str">
        <f>VLOOKUP("佐敦庫勒秘庫-未知深境", Data!$B:$D,H1, FALSE)
&amp;CHAR(10)&amp;VLOOKUP("佐敦庫勒秘庫-風暴長廊", Data!$B:$D,H1, FALSE)</f>
        <v>佐敦·库勒藏书馆-无底深渊
佐敦·库勒藏书馆-风暴殿堂</v>
      </c>
      <c r="G23" s="79"/>
    </row>
    <row r="24" spans="1:7" ht="29">
      <c r="A24" s="95" t="str">
        <f>VLOOKUP("骷髏戰士", Data!$B:$D,H1, FALSE)</f>
        <v>白骨战士</v>
      </c>
      <c r="B24" s="96" t="s">
        <v>0</v>
      </c>
      <c r="C24" s="97" t="str">
        <f>VLOOKUP("達厄古綠洲-遺忘廢墟", Data!$B:$D,H1, FALSE)
&amp;CHAR(10)&amp;VLOOKUP("淒涼沙地-刺客地庫", Data!$B:$D,H1, FALSE)</f>
        <v>达尔格绿洲-被遗忘的废墟
凄凉沙漠-刺客密室</v>
      </c>
      <c r="D24" s="98" t="str">
        <f>VLOOKUP("骷髏劈脊者", Data!$B:$D,H1, FALSE)</f>
        <v>凿脊者</v>
      </c>
      <c r="E24" s="96" t="s">
        <v>0</v>
      </c>
      <c r="F24" s="99" t="str">
        <f>VLOOKUP("達厄古綠洲-遺忘廢墟", Data!$B:$D,H1, FALSE)</f>
        <v>达尔格绿洲-被遗忘的废墟</v>
      </c>
      <c r="G24" s="79"/>
    </row>
    <row r="25" spans="1:7" ht="29">
      <c r="A25" s="95" t="str">
        <f>VLOOKUP("骷髏遊俠", Data!$B:$D,H1, FALSE)</f>
        <v>骷髅游侠</v>
      </c>
      <c r="B25" s="96" t="s">
        <v>0</v>
      </c>
      <c r="C25" s="97" t="str">
        <f>VLOOKUP("卡爾蒂姆下水道", Data!$B:$D,H1, FALSE)
&amp;CHAR(10)&amp;VLOOKUP("達厄古綠洲-神秘的洞穴", Data!$B:$D,H1, FALSE)</f>
        <v>卡尔蒂姆下水道
达尔格绿洲-神秘洞穴</v>
      </c>
      <c r="D25" s="98" t="str">
        <f>VLOOKUP("悶燃傀儡", Data!$B:$D,H1, FALSE)</f>
        <v>熔火构造体</v>
      </c>
      <c r="E25" s="96" t="s">
        <v>0</v>
      </c>
      <c r="F25" s="99" t="str">
        <f>VLOOKUP("佐敦庫勒秘庫-未知深境", Data!$B:$D,H1, FALSE)</f>
        <v>佐敦·库勒藏书馆-无底深渊</v>
      </c>
      <c r="G25" s="79"/>
    </row>
    <row r="26" spans="1:7" ht="72.5">
      <c r="A26" s="95" t="str">
        <f>VLOOKUP("電能傀儡", Data!$B:$D,H1, FALSE)</f>
        <v>电荷构造体</v>
      </c>
      <c r="B26" s="96" t="s">
        <v>0</v>
      </c>
      <c r="C26" s="97" t="str">
        <f>VLOOKUP("佐敦庫勒秘庫-風暴長廊", Data!$B:$D,H1, FALSE)</f>
        <v>佐敦·库勒藏书馆-风暴殿堂</v>
      </c>
      <c r="D26" s="98" t="str">
        <f>VLOOKUP("劇毒守護者", Data!$B:$D,H1, FALSE)</f>
        <v>剧毒卫士</v>
      </c>
      <c r="E26" s="96" t="s">
        <v>0</v>
      </c>
      <c r="F26" s="97" t="str">
        <f>VLOOKUP("刺風沙漠-失落塑像之室", Data!$B:$D,H1, FALSE)
&amp;CHAR(10)&amp;VLOOKUP("卡爾蒂姆下水道", Data!$B:$D,H1, FALSE)
&amp;CHAR(10)&amp;VLOOKUP("卡爾蒂姆市集-廢棄水道", Data!$B:$D,H1, FALSE)
&amp;CHAR(10)&amp;VLOOKUP("西側水道", Data!$B:$D,H1, FALSE)
&amp;CHAR(10)&amp;VLOOKUP("東側水道", Data!$B:$D,H1, FALSE)</f>
        <v>烈风之地-失落人偶的密厅
卡尔蒂姆下水道
卡尔蒂姆集市-被淹没的堤道
西部水渠
东部水渠</v>
      </c>
      <c r="G26" s="79"/>
    </row>
    <row r="27" spans="1:7" ht="43.5">
      <c r="A27" s="95" t="str">
        <f>VLOOKUP("盤蛇法師", Data!$B:$D,H1, FALSE)</f>
        <v>蛇身法师</v>
      </c>
      <c r="B27" s="96" t="s">
        <v>0</v>
      </c>
      <c r="C27" s="97" t="str">
        <f>VLOOKUP("刺風沙漠-廢墟", Data!$B:$D,H1, FALSE)
&amp;CHAR(10)&amp;VLOOKUP("卡爾蒂姆下水道", Data!$B:$D,H1, FALSE)
&amp;CHAR(10)&amp;VLOOKUP("達厄古綠洲", Data!$B:$D,H1, FALSE)</f>
        <v>烈风之地-废墟
卡尔蒂姆下水道
达尔格绿洲</v>
      </c>
      <c r="D27" s="98" t="str">
        <f>VLOOKUP("吐網蜘蛛", Data!$B:$D,H1, FALSE)</f>
        <v>喷网蜘蛛</v>
      </c>
      <c r="E27" s="96" t="s">
        <v>0</v>
      </c>
      <c r="F27" s="97" t="str">
        <f>VLOOKUP("淒涼沙地-背叛者洞穴", Data!$B:$D,H1, FALSE)
&amp;CHAR(10)&amp;VLOOKUP("淒涼沙地-兇邪的洞穴", Data!$B:$D,H1, FALSE)</f>
        <v>凄凉沙漠-背叛者洞穴
凄凉沙漠-邪恶洞窟</v>
      </c>
      <c r="G27" s="79"/>
    </row>
    <row r="28" spans="1:7" ht="44" thickBot="1">
      <c r="A28" s="100" t="str">
        <f>VLOOKUP("幼生蛛群", Data!$B:$D,H1, FALSE)</f>
        <v>巢蛛</v>
      </c>
      <c r="B28" s="101" t="s">
        <v>0</v>
      </c>
      <c r="C28" s="102" t="str">
        <f>VLOOKUP("淒涼沙地-背叛者洞穴", Data!$B:$D,H1, FALSE)
&amp;CHAR(10)&amp;VLOOKUP("淒涼沙地-兇邪的洞穴", Data!$B:$D,H1, FALSE)
&amp;CHAR(10)&amp;VLOOKUP("佐敦庫勒秘庫-風暴長廊", Data!$B:$D,H1, FALSE)</f>
        <v>凄凉沙漠-背叛者洞穴
凄凉沙漠-邪恶洞窟
佐敦·库勒藏书馆-风暴殿堂</v>
      </c>
      <c r="D28" s="103" t="str">
        <f>VLOOKUP("狂暴魔狼", Data!$B:$D,H1, FALSE)</f>
        <v>狂乱地狱犬</v>
      </c>
      <c r="E28" s="101" t="s">
        <v>0</v>
      </c>
      <c r="F28" s="104" t="str">
        <f>VLOOKUP("奧卡納斯", Data!$B:$D,H1, FALSE)</f>
        <v>阿尔卡纳斯</v>
      </c>
      <c r="G28" s="79"/>
    </row>
    <row r="29" spans="1:7" ht="58.5" thickBot="1">
      <c r="A29" s="210" t="str">
        <f>VLOOKUP("兇暴移行獸", Data!$B:$D,H1, FALSE)</f>
        <v>巨型移形兽</v>
      </c>
      <c r="B29" s="211" t="s">
        <v>29</v>
      </c>
      <c r="C29" s="212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D29" s="213" t="str">
        <f>VLOOKUP("震地魔", Data!$B:$D,H1, FALSE)</f>
        <v>恶魔震地者</v>
      </c>
      <c r="E29" s="214" t="s">
        <v>29</v>
      </c>
      <c r="F29" s="215" t="str">
        <f>VLOOKUP("要塞下層第二層", Data!$B:$D,H1, FALSE)
&amp;CHAR(10)&amp;VLOOKUP("要塞下層第三層", Data!$B:$D,H1, FALSE)
&amp;CHAR(10)&amp;VLOOKUP("戰場", Data!$B:$D,H1, FALSE)
&amp;CHAR(10)&amp;VLOOKUP("殺戮戰場", Data!$B:$D,H1, FALSE)</f>
        <v>要塞深渊二层
要塞深渊三层
战场
血腥战场</v>
      </c>
      <c r="G29" s="79"/>
    </row>
    <row r="30" spans="1:7" ht="44" thickBot="1">
      <c r="A30" s="105" t="str">
        <f>VLOOKUP("裝甲破壞魔", Data!$B:$D,H1, FALSE)</f>
        <v>铁甲摧毁者</v>
      </c>
      <c r="B30" s="106" t="s">
        <v>1</v>
      </c>
      <c r="C30" s="107" t="str">
        <f>VLOOKUP("希望園圃第一階", Data!$B:$D,H1, FALSE)</f>
        <v>希望花园一层</v>
      </c>
      <c r="D30" s="216" t="str">
        <f>VLOOKUP("瘟疫使者", Data!$B:$D,H1, FALSE)</f>
        <v>疫病传染体</v>
      </c>
      <c r="E30" s="217" t="s">
        <v>29</v>
      </c>
      <c r="F30" s="218" t="str">
        <f>VLOOKUP("戰場", Data!$B:$D,H1, FALSE)
&amp;CHAR(10)&amp;VLOOKUP("殺戮戰場", Data!$B:$D,H1, FALSE)
&amp;CHAR(10)&amp;VLOOKUP("亞瑞特巨坑第一層", Data!$B:$D,H1, FALSE)</f>
        <v>战场
血腥战场
亚瑞特巨坑一层</v>
      </c>
      <c r="G30" s="79"/>
    </row>
    <row r="31" spans="1:7" ht="43.5">
      <c r="A31" s="229" t="str">
        <f>VLOOKUP("魔翼妖蝠", Data!$B:$D,H1, FALSE)</f>
        <v>地狱天鬼</v>
      </c>
      <c r="B31" s="214" t="s">
        <v>29</v>
      </c>
      <c r="C31" s="215" t="str">
        <f>VLOOKUP("天冠城垛", Data!$B:$D,H1, FALSE)
&amp;CHAR(10)&amp;VLOOKUP("石壘", Data!$B:$D,H1, FALSE)
&amp;CHAR(10)&amp;VLOOKUP("亞瑞特之門-兵營第一層", Data!$B:$D,H1, FALSE)</f>
        <v>天冠城垛
坚石壁垒
亚瑞特大门-营房一层</v>
      </c>
      <c r="D31" s="216" t="str">
        <f>VLOOKUP("惡魔突擊兵", Data!$B:$D,H1, FALSE)</f>
        <v>恶魔士兵</v>
      </c>
      <c r="E31" s="217" t="s">
        <v>29</v>
      </c>
      <c r="F31" s="218" t="str">
        <f>VLOOKUP("天冠城垛", Data!$B:$D,H1, FALSE)
&amp;CHAR(10)&amp;VLOOKUP("石壘", Data!$B:$D,H1, FALSE)
&amp;CHAR(10)&amp;VLOOKUP("要塞下層第一層", Data!$B:$D,H1, FALSE)</f>
        <v>天冠城垛
坚石壁垒
要塞深渊一层</v>
      </c>
      <c r="G31" s="79"/>
    </row>
    <row r="32" spans="1:7" ht="58">
      <c r="A32" s="223" t="str">
        <f>VLOOKUP("沉淪魔奴隸主", Data!$B:$D,H1, FALSE)</f>
        <v>堕落奴隶主</v>
      </c>
      <c r="B32" s="217" t="s">
        <v>29</v>
      </c>
      <c r="C32" s="218" t="str">
        <f>VLOOKUP("拉基斯路口", Data!$B:$D,H1, FALSE)
&amp;CHAR(10)&amp;VLOOKUP("拉基斯路口-大橋儲藏間", Data!$B:$D,H1, FALSE)
&amp;CHAR(10)&amp;VLOOKUP("譴罪之塔第一層", Data!$B:$D,H1, FALSE)</f>
        <v>拉基斯之渡
拉基斯之渡-大桥储藏室
天谴者之塔一层</v>
      </c>
      <c r="D32" s="216" t="str">
        <f>VLOOKUP("沉淪魔蠻兵", Data!$B:$D,H1, FALSE)</f>
        <v>堕落蛮兵</v>
      </c>
      <c r="E32" s="217" t="s">
        <v>29</v>
      </c>
      <c r="F32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G32" s="79"/>
    </row>
    <row r="33" spans="1:7" ht="72.5">
      <c r="A33" s="223" t="str">
        <f>VLOOKUP("沉淪魔士兵", Data!$B:$D,H1, FALSE)</f>
        <v>堕落士兵</v>
      </c>
      <c r="B33" s="217" t="s">
        <v>29</v>
      </c>
      <c r="C33" s="218" t="str">
        <f>VLOOKUP("拉基斯路口", Data!$B:$D,H1, FALSE)
&amp;CHAR(10)&amp;VLOOKUP("拉基斯路口-大橋儲藏間", Data!$B:$D,H1, FALSE)
&amp;CHAR(10)&amp;VLOOKUP("深淵之緣", Data!$B:$D,H1, FALSE)
&amp;CHAR(10)&amp;VLOOKUP("亞瑞特巨坑第一層", Data!$B:$D,H1, FALSE)
&amp;CHAR(10)&amp;VLOOKUP("譴罪之塔第一層", Data!$B:$D,H1, FALSE)</f>
        <v>拉基斯之渡
拉基斯之渡-大桥储藏室
深渊的尽头
亚瑞特巨坑一层
天谴者之塔一层</v>
      </c>
      <c r="D33" s="216" t="str">
        <f>VLOOKUP("沉淪魔地獄犬", Data!$B:$D,H1, FALSE)</f>
        <v>堕落地狱犬</v>
      </c>
      <c r="E33" s="217" t="s">
        <v>29</v>
      </c>
      <c r="F33" s="218" t="str">
        <f>VLOOKUP("拉基斯路口", Data!$B:$D,H1, FALSE)
&amp;CHAR(10)&amp;VLOOKUP("拉基斯路口-大橋儲藏間", Data!$B:$D,H1, FALSE)
&amp;CHAR(10)&amp;VLOOKUP("譴罪之塔第一層", Data!$B:$D,H1, FALSE)</f>
        <v>拉基斯之渡
拉基斯之渡-大桥储藏室
天谴者之塔一层</v>
      </c>
      <c r="G33" s="79"/>
    </row>
    <row r="34" spans="1:7" ht="72.5">
      <c r="A34" s="223" t="str">
        <f>VLOOKUP("沉淪魔先知", Data!$B:$D,H1, FALSE)</f>
        <v>堕落预言师</v>
      </c>
      <c r="B34" s="217" t="s">
        <v>29</v>
      </c>
      <c r="C34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D34" s="216" t="str">
        <f>VLOOKUP("血族戰士", Data!$B:$D,H1, FALSE)</f>
        <v>鲜血氏族战士</v>
      </c>
      <c r="E34" s="217" t="s">
        <v>29</v>
      </c>
      <c r="F34" s="218" t="str">
        <f>VLOOKUP("戰場", Data!$B:$D,H1, FALSE)
&amp;CHAR(10)&amp;VLOOKUP("科斯克橋", Data!$B:$D,H1, FALSE)
&amp;CHAR(10)&amp;VLOOKUP("殺戮戰場", Data!$B:$D,H1, FALSE)
&amp;CHAR(10)&amp;VLOOKUP("拉基斯路口", Data!$B:$D,H1, FALSE)
&amp;CHAR(10)&amp;VLOOKUP("拉基斯路口-橋底地窖", Data!$B:$D,H1, FALSE)</f>
        <v>战场
科尔斯克之桥
血腥战场
拉基斯之渡
拉基斯之渡-桥底</v>
      </c>
      <c r="G34" s="79"/>
    </row>
    <row r="35" spans="1:7" ht="43.5">
      <c r="A35" s="223" t="str">
        <f>VLOOKUP("血族玄術師", Data!$B:$D,H1, FALSE)</f>
        <v>鲜血氏族秘术师</v>
      </c>
      <c r="B35" s="217" t="s">
        <v>29</v>
      </c>
      <c r="C35" s="218" t="str">
        <f>VLOOKUP("亞瑞特巨坑第二層", Data!$B:$D,H1, FALSE)
&amp;CHAR(10)&amp;VLOOKUP("詛咒之塔第一層", Data!$B:$D,H1, FALSE)
&amp;CHAR(10)&amp;VLOOKUP("詛咒之塔第二層", Data!$B:$D,H1, FALSE)</f>
        <v>亚瑞特巨坑二层
诅咒者之塔一层
诅咒者之塔二层</v>
      </c>
      <c r="D35" s="216" t="str">
        <f>VLOOKUP("冬禍女獵手", Data!$B:$D,H1, FALSE)</f>
        <v>霜鬓女猎手</v>
      </c>
      <c r="E35" s="217" t="s">
        <v>29</v>
      </c>
      <c r="F35" s="219" t="str">
        <f>VLOOKUP("殺戮戰場-寒霜洞窟", Data!$B:$D,H1, FALSE)</f>
        <v>血腥战场-寒冰洞</v>
      </c>
      <c r="G35" s="79"/>
    </row>
    <row r="36" spans="1:7" ht="58">
      <c r="A36" s="223" t="str">
        <f>VLOOKUP("冥河毒蠍", Data!$B:$D,H1, FALSE)</f>
        <v>地狱爬行者</v>
      </c>
      <c r="B36" s="217" t="s">
        <v>29</v>
      </c>
      <c r="C36" s="218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D36" s="216" t="str">
        <f>VLOOKUP("骷髏掠奪者", Data!$B:$D,H1, FALSE)</f>
        <v>骷髅掠夺者</v>
      </c>
      <c r="E36" s="217" t="s">
        <v>29</v>
      </c>
      <c r="F36" s="219" t="str">
        <f>VLOOKUP("戰場-戰場儲備所", Data!$B:$D,H1, FALSE)</f>
        <v>战场-战备物资储藏室</v>
      </c>
      <c r="G36" s="79"/>
    </row>
    <row r="37" spans="1:7">
      <c r="A37" s="223" t="str">
        <f>VLOOKUP("顱骸劍士", Data!$B:$D,H1, FALSE)</f>
        <v>白骨剑士</v>
      </c>
      <c r="B37" s="217" t="s">
        <v>29</v>
      </c>
      <c r="C37" s="219" t="str">
        <f>VLOOKUP("戰場-戰場儲備所", Data!$B:$D,H1, FALSE)</f>
        <v>战场-战备物资储藏室</v>
      </c>
      <c r="D37" s="216" t="str">
        <f>VLOOKUP("顱骸砍劈者", Data!$B:$D,H1, FALSE)</f>
        <v>劈颅手</v>
      </c>
      <c r="E37" s="217" t="s">
        <v>29</v>
      </c>
      <c r="F37" s="219" t="str">
        <f>VLOOKUP("戰場-戰場儲備所", Data!$B:$D,H1, FALSE)</f>
        <v>战场-战备物资储藏室</v>
      </c>
      <c r="G37" s="79"/>
    </row>
    <row r="38" spans="1:7" ht="58.5" thickBot="1">
      <c r="A38" s="223" t="str">
        <f>VLOOKUP("撕魂獸", Data!$B:$D,H1, FALSE)</f>
        <v>灵魂撕裂者</v>
      </c>
      <c r="B38" s="217" t="s">
        <v>29</v>
      </c>
      <c r="C38" s="218" t="str">
        <f>VLOOKUP("要塞下層第一層", Data!$B:$D,H1, FALSE)
&amp;CHAR(10)&amp;VLOOKUP("要塞下層第二層", Data!$B:$D,H1, FALSE)</f>
        <v>要塞深渊一层
要塞深渊二层</v>
      </c>
      <c r="D38" s="220" t="str">
        <f>VLOOKUP("魅魔", Data!$B:$D,H1, FALSE)</f>
        <v>魅魔</v>
      </c>
      <c r="E38" s="221" t="s">
        <v>29</v>
      </c>
      <c r="F38" s="222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G38" s="79"/>
    </row>
    <row r="39" spans="1:7" ht="29.5" thickBot="1">
      <c r="A39" s="224" t="str">
        <f>VLOOKUP("苟爾勾巨魔", Data!$B:$D,H1, FALSE)</f>
        <v>戈尔格巨魔</v>
      </c>
      <c r="B39" s="221" t="s">
        <v>29</v>
      </c>
      <c r="C39" s="225" t="str">
        <f>VLOOKUP("石壘", Data!$B:$D,H1, FALSE)</f>
        <v>坚石壁垒</v>
      </c>
      <c r="D39" s="108" t="str">
        <f>VLOOKUP("暗空火妖蝠", Data!$B:$D,H1, FALSE)</f>
        <v>黑天火魔</v>
      </c>
      <c r="E39" s="109" t="s">
        <v>1</v>
      </c>
      <c r="F39" s="154" t="str">
        <f>VLOOKUP("希望園圃第二階", Data!$B:$D,H1, FALSE)
&amp;CHAR(10)&amp;VLOOKUP("希望園圃第三階（冒险模式）", Data!$B:$D,H1, FALSE)</f>
        <v>希望花园二层
希望花园三层（冒险模式）</v>
      </c>
      <c r="G39" s="79"/>
    </row>
    <row r="40" spans="1:7">
      <c r="A40" s="111" t="str">
        <f>VLOOKUP("被奴役的夢魘", Data!$B:$D,H1, FALSE)</f>
        <v>奴役梦魇</v>
      </c>
      <c r="B40" s="109" t="s">
        <v>1</v>
      </c>
      <c r="C40" s="112" t="str">
        <f>VLOOKUP("銀光尖塔第二層", Data!$B:$D,H1, FALSE)</f>
        <v>银色高塔二层</v>
      </c>
      <c r="D40" s="113" t="str">
        <f>VLOOKUP("巨拳領主", Data!$B:$D,H1, FALSE)</f>
        <v>捶地魔</v>
      </c>
      <c r="E40" s="114" t="s">
        <v>35</v>
      </c>
      <c r="F40" s="115" t="str">
        <f>VLOOKUP("銀光尖塔第一層", Data!$B:$D,H1, FALSE)</f>
        <v>银色高塔一层</v>
      </c>
      <c r="G40" s="79"/>
    </row>
    <row r="41" spans="1:7" ht="29">
      <c r="A41" s="116" t="str">
        <f>VLOOKUP("壓制者", Data!$B:$D,H1, FALSE)</f>
        <v>统御魔</v>
      </c>
      <c r="B41" s="114" t="s">
        <v>35</v>
      </c>
      <c r="C41" s="115" t="str">
        <f>VLOOKUP("希望園圃第一階", Data!$B:$D,H1, FALSE)</f>
        <v>希望花园一层</v>
      </c>
      <c r="D41" s="113" t="str">
        <f>VLOOKUP("末日騎獸", Data!$B:$D,H1, FALSE)</f>
        <v>阿玛顿</v>
      </c>
      <c r="E41" s="114" t="s">
        <v>35</v>
      </c>
      <c r="F41" s="155" t="str">
        <f>VLOOKUP("希望園圃第二階-聖德會堂", Data!$B:$D,H1, FALSE)
&amp;CHAR(10)&amp;"(冒险模式下"&amp;VLOOKUP("聖德會堂", Data!$B:$D,H1, FALSE)&amp;"位于第三层)"</f>
        <v>希望花园二层-美德神堂
(冒险模式下美德神堂位于第三层)</v>
      </c>
      <c r="G41" s="79"/>
    </row>
    <row r="42" spans="1:7" ht="29.5" thickBot="1">
      <c r="A42" s="118" t="str">
        <f>VLOOKUP("魔虜軍團士兵", Data!$B:$D,H1, FALSE)</f>
        <v>魔鲁军团士兵</v>
      </c>
      <c r="B42" s="119" t="s">
        <v>35</v>
      </c>
      <c r="C42" s="120" t="str">
        <f>VLOOKUP("銀光尖塔第一層", Data!$B:$D,H1, FALSE)
&amp;CHAR(10)&amp;VLOOKUP("銀光尖塔第二層", Data!$B:$D,H1, FALSE)</f>
        <v>银色高塔一层
银色高塔二层</v>
      </c>
      <c r="D42" s="121" t="str">
        <f>VLOOKUP("魔虜焚火師", Data!$B:$D,H1, FALSE)</f>
        <v>魔鲁焚化者</v>
      </c>
      <c r="E42" s="119" t="s">
        <v>35</v>
      </c>
      <c r="F42" s="120" t="str">
        <f>VLOOKUP("銀光尖塔第一層", Data!$B:$D,H1, FALSE)
&amp;CHAR(10)&amp;VLOOKUP("銀光尖塔第二層", Data!$B:$D,H1, FALSE)</f>
        <v>银色高塔一层
银色高塔二层</v>
      </c>
      <c r="G42" s="79"/>
    </row>
    <row r="43" spans="1:7" ht="17" thickBot="1">
      <c r="A43" s="226" t="str">
        <f>VLOOKUP("苟爾勾狂魔", Data!$B:$D,H1, FALSE)</f>
        <v>疯狂的戈尔格</v>
      </c>
      <c r="B43" s="227" t="s">
        <v>36</v>
      </c>
      <c r="C43" s="228" t="str">
        <f>VLOOKUP("亞瑞特地核", Data!$B:$D,H1, FALSE)</f>
        <v>亚瑞特核心</v>
      </c>
      <c r="D43" s="79"/>
      <c r="E43" s="79"/>
      <c r="F43" s="79"/>
      <c r="G43" s="79"/>
    </row>
    <row r="44" spans="1:7" ht="17" thickBot="1"/>
    <row r="45" spans="1:7" ht="23" thickBot="1">
      <c r="A45" s="722" t="str">
        <f>VLOOKUP("稀世奇人", Data!$B:$D,H1, FALSE)</f>
        <v>稀有族群</v>
      </c>
      <c r="B45" s="723"/>
      <c r="C45" s="723"/>
      <c r="D45" s="723"/>
      <c r="E45" s="723"/>
      <c r="F45" s="724"/>
      <c r="G45" s="75" t="str">
        <f>"&lt;-配合"&amp;VLOOKUP("死敵護腕", Data!$B:$D,H1, FALSE)&amp;"可以快速完成"</f>
        <v>&lt;-配合复仇者护腕可以快速完成</v>
      </c>
    </row>
    <row r="46" spans="1:7" ht="17" thickBot="1">
      <c r="A46" s="75" t="s">
        <v>125</v>
      </c>
    </row>
    <row r="47" spans="1:7" s="73" customFormat="1" ht="17" thickBot="1">
      <c r="A47" s="478" t="s">
        <v>3950</v>
      </c>
      <c r="B47" s="479" t="s">
        <v>3951</v>
      </c>
      <c r="C47" s="480" t="s">
        <v>27</v>
      </c>
      <c r="D47" s="481" t="s">
        <v>3950</v>
      </c>
      <c r="E47" s="479" t="s">
        <v>3951</v>
      </c>
      <c r="F47" s="482" t="s">
        <v>3952</v>
      </c>
      <c r="G47" s="473"/>
    </row>
    <row r="48" spans="1:7" ht="29">
      <c r="A48" s="122" t="str">
        <f>VLOOKUP("狂怒幽影", Data!$B:$D,H1, FALSE)</f>
        <v>激怒的厉魂</v>
      </c>
      <c r="B48" s="123" t="s">
        <v>98</v>
      </c>
      <c r="C48" s="124" t="str">
        <f>VLOOKUP("衛斯馬屈城中區-瘟疫地道", Data!$B:$D,H1, FALSE)</f>
        <v>威斯特玛城中区-瘟疫地道</v>
      </c>
      <c r="D48" s="125" t="str">
        <f>VLOOKUP("骷髏爬行怪", Data!$B:$D,H1, FALSE)</f>
        <v>骷髅爬行者</v>
      </c>
      <c r="E48" s="123" t="s">
        <v>97</v>
      </c>
      <c r="F48" s="124" t="str">
        <f>VLOOKUP("衛斯馬屈山城區-骸骨地窖", Data!$B:$D,H1, FALSE)
&amp;CHAR(10)&amp;VLOOKUP("衛斯馬屈城中區-瘟疫地道", Data!$B:$D,H1, FALSE)</f>
        <v>威斯特玛上城区-骸骨地窖
威斯特玛城中区-瘟疫地道</v>
      </c>
    </row>
    <row r="49" spans="1:6" ht="43.5">
      <c r="A49" s="126" t="str">
        <f>VLOOKUP("喚鼠狂魔", Data!$B:$D,H1, FALSE)</f>
        <v>唤鼠师</v>
      </c>
      <c r="B49" s="127" t="s">
        <v>97</v>
      </c>
      <c r="C49" s="128" t="str">
        <f>VLOOKUP("衛斯馬屈山城區-骸骨地窖", Data!$B:$D,H1, FALSE)
&amp;CHAR(10)&amp;VLOOKUP("衛斯馬屈城中區-瘟疫地道", Data!$B:$D,H1, FALSE)</f>
        <v>威斯特玛上城区-骸骨地窖
威斯特玛城中区-瘟疫地道</v>
      </c>
      <c r="D49" s="129" t="str">
        <f>VLOOKUP("洞穴蝙蝠", Data!$B:$D,H1, FALSE)</f>
        <v>洞穴蝙蝠</v>
      </c>
      <c r="E49" s="127" t="s">
        <v>97</v>
      </c>
      <c r="F49" s="128" t="str">
        <f>VLOOKUP("溺水沼地-盧瑞石洞", Data!$B:$D,H1, FALSE)
&amp;CHAR(10)&amp;VLOOKUP("溺水沼地-兇險洞窟", Data!$B:$D,H1, FALSE)
&amp;CHAR(10)&amp;VLOOKUP("溺水沼地-曲折洞穴", Data!$B:$D,H1, FALSE)</f>
        <v>漫水古道-卢雷石洞
漫水古道-凶险洞穴
漫水古道-羊肠洞穴</v>
      </c>
    </row>
    <row r="50" spans="1:6" ht="29">
      <c r="A50" s="126" t="str">
        <f>VLOOKUP("笞爬獸", Data!$B:$D,H1, FALSE)</f>
        <v>鞭笞爬行兽</v>
      </c>
      <c r="B50" s="127" t="s">
        <v>96</v>
      </c>
      <c r="C50" s="128" t="str">
        <f>VLOOKUP("溺水沼地-兇險洞窟", Data!$B:$D,H1, FALSE)
&amp;CHAR(10)&amp;VLOOKUP("溺水沼地-盧瑞石洞", Data!$B:$D,H1, FALSE)</f>
        <v>漫水古道-凶险洞穴
漫水古道-卢雷石洞</v>
      </c>
      <c r="D50" s="129" t="str">
        <f>VLOOKUP("蛆蟲巢獸", Data!$B:$D,H1, FALSE)</f>
        <v>蛆虫育母</v>
      </c>
      <c r="E50" s="127" t="s">
        <v>96</v>
      </c>
      <c r="F50" s="128" t="str">
        <f>VLOOKUP("溺水沼地-盧瑞石洞", Data!$B:$D,H1, FALSE)
&amp;CHAR(10)&amp;VLOOKUP("溺水沼地-兇險洞窟", Data!$B:$D,H1, FALSE)</f>
        <v>漫水古道-卢雷石洞
漫水古道-凶险洞穴</v>
      </c>
    </row>
    <row r="51" spans="1:6" ht="29">
      <c r="A51" s="126" t="str">
        <f>VLOOKUP("長牙沼澤怪", Data!$B:$D,H1, FALSE)</f>
        <v>尖牙沼泽兽</v>
      </c>
      <c r="B51" s="127" t="s">
        <v>96</v>
      </c>
      <c r="C51" s="128" t="str">
        <f>VLOOKUP("溺水沼地", Data!$B:$D,H1, FALSE)</f>
        <v>漫水古道</v>
      </c>
      <c r="D51" s="129" t="str">
        <f>VLOOKUP("尖嘯邪巨蝠", Data!$B:$D,H1, FALSE)</f>
        <v>尖啸恐蝠</v>
      </c>
      <c r="E51" s="127" t="s">
        <v>96</v>
      </c>
      <c r="F51" s="128" t="str">
        <f>VLOOKUP("血沼澤", Data!$B:$D,H1, FALSE)
&amp;CHAR(10)&amp;VLOOKUP("溺水沼地", Data!$B:$D,H1, FALSE)</f>
        <v>鲜血沼泽
漫水古道</v>
      </c>
    </row>
    <row r="52" spans="1:6" ht="29">
      <c r="A52" s="126" t="str">
        <f>VLOOKUP("血魔吞噬者", Data!$B:$D,H1, FALSE)</f>
        <v>血魔吞食者</v>
      </c>
      <c r="B52" s="127" t="s">
        <v>96</v>
      </c>
      <c r="C52" s="128" t="str">
        <f>VLOOKUP("寇佛斯入口", Data!$B:$D,H1, FALSE)
&amp;CHAR(10)&amp;VLOOKUP("寇佛斯遺跡", Data!$B:$D,H1, FALSE)</f>
        <v>往科乌斯之路
科乌斯废墟</v>
      </c>
      <c r="D52" s="129" t="str">
        <f>VLOOKUP("血魔薩滿", Data!$B:$D,H1, FALSE)</f>
        <v>血肉萨满</v>
      </c>
      <c r="E52" s="127" t="s">
        <v>96</v>
      </c>
      <c r="F52" s="128" t="str">
        <f>VLOOKUP("寇佛斯入口", Data!$B:$D,H1, FALSE)
&amp;CHAR(10)&amp;VLOOKUP("寇佛斯遺跡", Data!$B:$D,H1, FALSE)</f>
        <v>往科乌斯之路
科乌斯废墟</v>
      </c>
    </row>
    <row r="53" spans="1:6">
      <c r="A53" s="126" t="str">
        <f>VLOOKUP("飛翼兇魔", Data!$B:$D,H1, FALSE)</f>
        <v>飞翼刺杀者</v>
      </c>
      <c r="B53" s="127" t="s">
        <v>96</v>
      </c>
      <c r="C53" s="128" t="str">
        <f>VLOOKUP("混沌界要塞第一層", Data!$B:$D,H1, FALSE)</f>
        <v>混沌要塞一层</v>
      </c>
      <c r="D53" s="129" t="str">
        <f>VLOOKUP("叛天靈", Data!$B:$D,H1, FALSE)</f>
        <v>叛天灵</v>
      </c>
      <c r="E53" s="127" t="s">
        <v>493</v>
      </c>
      <c r="F53" s="128" t="str">
        <f>VLOOKUP("混沌界要塞第一層", Data!$B:$D,H1, FALSE)</f>
        <v>混沌要塞一层</v>
      </c>
    </row>
    <row r="54" spans="1:6">
      <c r="A54" s="126" t="str">
        <f>VLOOKUP("處決者", Data!$B:$D,H1, FALSE)</f>
        <v>处决者</v>
      </c>
      <c r="B54" s="127" t="s">
        <v>96</v>
      </c>
      <c r="C54" s="128" t="str">
        <f>VLOOKUP("混沌界要塞第二層", Data!$B:$D,H1, FALSE)</f>
        <v>混沌要塞二层</v>
      </c>
      <c r="D54" s="129" t="str">
        <f>VLOOKUP("督天靈", Data!$B:$D,H1, FALSE)</f>
        <v>督天灵</v>
      </c>
      <c r="E54" s="127" t="s">
        <v>96</v>
      </c>
      <c r="F54" s="128" t="str">
        <f>VLOOKUP("混沌界要塞第一層", Data!$B:$D,H1, FALSE)</f>
        <v>混沌要塞一层</v>
      </c>
    </row>
    <row r="55" spans="1:6">
      <c r="A55" s="126" t="str">
        <f>VLOOKUP("原生鎧岩獸", Data!$B:$D,H1, FALSE)</f>
        <v>原始食腐兽</v>
      </c>
      <c r="B55" s="127" t="s">
        <v>96</v>
      </c>
      <c r="C55" s="128" t="str">
        <f>VLOOKUP("永恆戰場", Data!$B:$D,H1, FALSE)</f>
        <v>永恒战场</v>
      </c>
      <c r="D55" s="129" t="str">
        <f>VLOOKUP("鉤刺潛伏者", Data!$B:$D,H1, FALSE)</f>
        <v>勾刺潜伏者</v>
      </c>
      <c r="E55" s="127" t="s">
        <v>96</v>
      </c>
      <c r="F55" s="128" t="str">
        <f>VLOOKUP("永恆戰場", Data!$B:$D,H1, FALSE)</f>
        <v>永恒战场</v>
      </c>
    </row>
    <row r="56" spans="1:6">
      <c r="A56" s="126" t="str">
        <f>VLOOKUP("馭屍者", Data!$B:$D,H1, FALSE)</f>
        <v>控尸者</v>
      </c>
      <c r="B56" s="127" t="s">
        <v>96</v>
      </c>
      <c r="C56" s="128" t="str">
        <f>VLOOKUP("布萊索恩墓園", Data!$B:$D,H1, FALSE)</f>
        <v>棘草墓园</v>
      </c>
      <c r="D56" s="129" t="str">
        <f>VLOOKUP("邪天靈", Data!$B:$D,H1, FALSE)</f>
        <v>邪天灵</v>
      </c>
      <c r="E56" s="127" t="s">
        <v>493</v>
      </c>
      <c r="F56" s="128" t="str">
        <f>VLOOKUP("布萊索恩墓園", Data!$B:$D,H1, FALSE)</f>
        <v>棘草墓园</v>
      </c>
    </row>
    <row r="57" spans="1:6">
      <c r="A57" s="126" t="str">
        <f>VLOOKUP("死亡侍女", Data!$B:$D,H1, FALSE)</f>
        <v>死神侍女</v>
      </c>
      <c r="B57" s="127" t="s">
        <v>96</v>
      </c>
      <c r="C57" s="128" t="str">
        <f>VLOOKUP("衛斯馬屈城中區", Data!$B:$D,H1, FALSE)</f>
        <v>威斯特玛城中区</v>
      </c>
      <c r="D57" s="129" t="str">
        <f>VLOOKUP("亡魄士兵", Data!$B:$D,H1, FALSE)</f>
        <v>亡魂士兵</v>
      </c>
      <c r="E57" s="127" t="s">
        <v>96</v>
      </c>
      <c r="F57" s="128" t="str">
        <f>VLOOKUP("衛斯馬屈城中區", Data!$B:$D,H1, FALSE)</f>
        <v>威斯特玛城中区</v>
      </c>
    </row>
    <row r="58" spans="1:6" ht="17" thickBot="1">
      <c r="A58" s="126" t="str">
        <f>VLOOKUP("亡魄盾衛", Data!$B:$D,H1, FALSE)</f>
        <v>亡魂盾卫</v>
      </c>
      <c r="B58" s="127" t="s">
        <v>96</v>
      </c>
      <c r="C58" s="128" t="str">
        <f>VLOOKUP("衛斯馬屈城中區", Data!$B:$D,H1, FALSE)</f>
        <v>威斯特玛城中区</v>
      </c>
      <c r="D58" s="130" t="str">
        <f>VLOOKUP("亡魄弓箭手", Data!$B:$D,H1, FALSE)</f>
        <v>亡魂弓手</v>
      </c>
      <c r="E58" s="131" t="s">
        <v>96</v>
      </c>
      <c r="F58" s="132" t="str">
        <f>VLOOKUP("衛斯馬屈城中區", Data!$B:$D,H1, FALSE)</f>
        <v>威斯特玛城中区</v>
      </c>
    </row>
    <row r="59" spans="1:6" ht="17" thickBot="1">
      <c r="A59" s="133" t="str">
        <f>VLOOKUP("獵犬首領", Data!$B:$D,H1, FALSE)</f>
        <v>猎犬首领</v>
      </c>
      <c r="B59" s="134" t="s">
        <v>96</v>
      </c>
      <c r="C59" s="135" t="str">
        <f>VLOOKUP("衛斯馬屈山城區", Data!$B:$D,H1, FALSE)</f>
        <v>威斯特玛上城区</v>
      </c>
      <c r="D59" s="414"/>
      <c r="E59" s="137"/>
      <c r="F59" s="414"/>
    </row>
  </sheetData>
  <mergeCells count="2">
    <mergeCell ref="A2:F2"/>
    <mergeCell ref="A45:F45"/>
  </mergeCells>
  <phoneticPr fontId="7" type="noConversion"/>
  <dataValidations count="1">
    <dataValidation type="list" allowBlank="1" showInputMessage="1" showErrorMessage="1" sqref="G1" xr:uid="{00000000-0002-0000-0300-000000000000}">
      <formula1>"繁體中文,简体中文"</formula1>
    </dataValidation>
  </dataValidations>
  <pageMargins left="0.75" right="0.75" top="1" bottom="1" header="0.5" footer="0.5"/>
  <pageSetup paperSize="9" scale="16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0"/>
  <sheetViews>
    <sheetView workbookViewId="0">
      <pane ySplit="1" topLeftCell="A2" activePane="bottomLeft" state="frozen"/>
      <selection pane="bottomLeft"/>
    </sheetView>
  </sheetViews>
  <sheetFormatPr defaultColWidth="8.9140625" defaultRowHeight="15"/>
  <cols>
    <col min="1" max="1" width="15.58203125" customWidth="1"/>
    <col min="2" max="2" width="5.58203125" customWidth="1"/>
    <col min="3" max="3" width="25.58203125" customWidth="1"/>
    <col min="4" max="4" width="15.58203125" customWidth="1"/>
    <col min="5" max="5" width="5.58203125" customWidth="1"/>
    <col min="6" max="6" width="25.58203125" customWidth="1"/>
    <col min="7" max="21" width="9" customWidth="1"/>
  </cols>
  <sheetData>
    <row r="1" spans="1:8" s="78" customFormat="1" ht="17" thickBot="1">
      <c r="A1" s="73" t="s">
        <v>2023</v>
      </c>
      <c r="B1" s="74" t="s">
        <v>2028</v>
      </c>
      <c r="C1" s="75"/>
      <c r="D1" s="75"/>
      <c r="E1" s="75"/>
      <c r="F1" s="76" t="s">
        <v>2021</v>
      </c>
      <c r="G1" s="573" t="s">
        <v>3923</v>
      </c>
      <c r="H1" s="319">
        <f>VLOOKUP(G1,Data!$A:$B,2, FALSE)</f>
        <v>2</v>
      </c>
    </row>
    <row r="2" spans="1:8" ht="23" thickBot="1">
      <c r="A2" s="725" t="str">
        <f>VLOOKUP("勇士的收藏", Data!$B:$D,H1, FALSE)</f>
        <v>勇士克星</v>
      </c>
      <c r="B2" s="726"/>
      <c r="C2" s="726"/>
      <c r="D2" s="726"/>
      <c r="E2" s="726"/>
      <c r="F2" s="727"/>
      <c r="G2" s="75"/>
      <c r="H2" s="75"/>
    </row>
    <row r="3" spans="1:8" ht="17" thickBot="1">
      <c r="A3" s="75" t="s">
        <v>31</v>
      </c>
      <c r="B3" s="75"/>
      <c r="C3" s="75"/>
      <c r="D3" s="75"/>
      <c r="E3" s="75"/>
      <c r="F3" s="75"/>
      <c r="G3" s="75"/>
      <c r="H3" s="75"/>
    </row>
    <row r="4" spans="1:8" s="1" customFormat="1" ht="17" thickBot="1">
      <c r="A4" s="483" t="s">
        <v>3950</v>
      </c>
      <c r="B4" s="484" t="s">
        <v>3951</v>
      </c>
      <c r="C4" s="485" t="s">
        <v>3952</v>
      </c>
      <c r="D4" s="486" t="s">
        <v>3950</v>
      </c>
      <c r="E4" s="484" t="s">
        <v>3951</v>
      </c>
      <c r="F4" s="485" t="s">
        <v>3952</v>
      </c>
      <c r="G4" s="73"/>
      <c r="H4" s="73"/>
    </row>
    <row r="5" spans="1:8" ht="16.5">
      <c r="A5" s="138" t="str">
        <f>VLOOKUP("長角蠻牛獸", Data!$B:$D,H1, FALSE)</f>
        <v>蛮牛怪</v>
      </c>
      <c r="B5" s="139" t="s">
        <v>26</v>
      </c>
      <c r="C5" s="140" t="str">
        <f>VLOOKUP("李奧瑞克狩獵場", Data!$B:$D,H1, FALSE)</f>
        <v>李奧瑞克的狩猎场</v>
      </c>
      <c r="D5" s="141" t="str">
        <f>VLOOKUP("魔嬰", Data!$B:$D,H1, FALSE)</f>
        <v>顽魔</v>
      </c>
      <c r="E5" s="139" t="s">
        <v>26</v>
      </c>
      <c r="F5" s="140" t="str">
        <f>VLOOKUP("荒棄墓園-被褻瀆的墓穴", Data!$B:$D,H1, FALSE)</f>
        <v>荒废的墓地-污秽的墓穴</v>
      </c>
      <c r="G5" s="75"/>
      <c r="H5" s="75"/>
    </row>
    <row r="6" spans="1:8" ht="72.5">
      <c r="A6" s="142" t="str">
        <f>VLOOKUP("食腐蝙蝠", Data!$B:$D,H1, FALSE)</f>
        <v>食腐蝙蝠</v>
      </c>
      <c r="B6" s="81" t="s">
        <v>26</v>
      </c>
      <c r="C6" s="82" t="str">
        <f>VLOOKUP("大教堂第一層", Data!$B:$D,H1, FALSE)
&amp;CHAR(10)&amp;VLOOKUP("悲泣荒原-沉淪魔窩巢", Data!$B:$D,H1, FALSE)
&amp;CHAR(10)&amp;VLOOKUP("荒棄墓園-被褻瀆的墓穴", Data!$B:$D,H1, FALSE)
&amp;CHAR(10)&amp;VLOOKUP("大教堂第二層", Data!$B:$D,H1, FALSE)
&amp;CHAR(10)&amp;VLOOKUP("大教堂第四層", Data!$B:$D,H1, FALSE)</f>
        <v>大教堂一层
哭泣山谷-堕落者的洞穴
荒废的墓地-污秽的墓穴
大教堂二层
大教堂四层</v>
      </c>
      <c r="D6" s="85" t="str">
        <f>VLOOKUP("兇殘魔", Data!$B:$D,H1, FALSE)</f>
        <v>凶残魔</v>
      </c>
      <c r="E6" s="81" t="s">
        <v>26</v>
      </c>
      <c r="F6" s="84" t="str">
        <f>VLOOKUP("詛咒監牢", Data!$B:$D,H1, FALSE)</f>
        <v>诅咒监牢</v>
      </c>
      <c r="G6" s="75"/>
      <c r="H6" s="75"/>
    </row>
    <row r="7" spans="1:8" ht="29">
      <c r="A7" s="142" t="str">
        <f>VLOOKUP("刺針惡魔", Data!$B:$D,H1, FALSE)</f>
        <v>刺脊怪</v>
      </c>
      <c r="B7" s="81" t="s">
        <v>26</v>
      </c>
      <c r="C7" s="82" t="str">
        <f>VLOOKUP("悲慘之原-食腐獸窩巢", Data!$B:$D,H1, FALSE)
&amp;CHAR(10)&amp;VLOOKUP("悲慘之原-失落礦洞", Data!$B:$D,H1, FALSE)</f>
        <v xml:space="preserve">苦难旷野-食腐魔洞穴
苦难旷野-失落矿洞 </v>
      </c>
      <c r="D7" s="85" t="str">
        <f>VLOOKUP("食腐獸", Data!$B:$D,H1, FALSE)</f>
        <v>食腐魔</v>
      </c>
      <c r="E7" s="81" t="s">
        <v>26</v>
      </c>
      <c r="F7" s="82" t="str">
        <f>VLOOKUP("悲泣荒原", Data!$B:$D,H1, FALSE)
&amp;CHAR(10)&amp;VLOOKUP("荒棄墓園-被褻瀆的墓穴", Data!$B:$D,H1, FALSE)</f>
        <v>哭泣山谷
荒废的墓地-污秽的墓穴</v>
      </c>
      <c r="G7" s="75"/>
      <c r="H7" s="75"/>
    </row>
    <row r="8" spans="1:8" ht="29">
      <c r="A8" s="142" t="str">
        <f>VLOOKUP("返世亡靈處決者", Data!$B:$D,H1, FALSE)</f>
        <v>转生处决者</v>
      </c>
      <c r="B8" s="81" t="s">
        <v>26</v>
      </c>
      <c r="C8" s="82" t="str">
        <f>VLOOKUP("南部高地-瞭望塔", Data!$B:$D,H1, FALSE)
&amp;CHAR(10)&amp;VLOOKUP("詛咒監牢", Data!$B:$D,H1, FALSE)</f>
        <v>南方高地-高地哨塔
诅咒监牢</v>
      </c>
      <c r="D8" s="85" t="str">
        <f>VLOOKUP("骷髏弓箭手", Data!$B:$D,H1, FALSE)</f>
        <v>骷髅弓手</v>
      </c>
      <c r="E8" s="81" t="s">
        <v>26</v>
      </c>
      <c r="F8" s="84" t="str">
        <f>VLOOKUP("大教堂第四層", Data!$B:$D,H1, FALSE)</f>
        <v>大教堂四层</v>
      </c>
      <c r="G8" s="75"/>
      <c r="H8" s="75"/>
    </row>
    <row r="9" spans="1:8" ht="29">
      <c r="A9" s="142" t="str">
        <f>VLOOKUP("小蜘蛛", Data!$B:$D,H1, FALSE)</f>
        <v>小蜘蛛</v>
      </c>
      <c r="B9" s="81" t="s">
        <v>26</v>
      </c>
      <c r="C9" s="84" t="str">
        <f>VLOOKUP("艾瑞妮洞窟", Data!$B:$D,H1, FALSE)</f>
        <v>蛛后洞窟</v>
      </c>
      <c r="D9" s="85" t="str">
        <f>VLOOKUP("黑暗狂暴者", Data!$B:$D,H1, FALSE)</f>
        <v>黑暗狂暴者</v>
      </c>
      <c r="E9" s="81" t="s">
        <v>26</v>
      </c>
      <c r="F9" s="82" t="str">
        <f>VLOOKUP("李奧瑞克狩獵場-高地洞穴", Data!$B:$D,H1, FALSE)
&amp;CHAR(10)&amp;VLOOKUP("苦痛刑牢", Data!$B:$D,H1, FALSE)</f>
        <v>李奧瑞克的狩猎场-高地洞穴
苦痛大厅</v>
      </c>
      <c r="G9" s="75"/>
      <c r="H9" s="75"/>
    </row>
    <row r="10" spans="1:8" ht="29">
      <c r="A10" s="142" t="str">
        <f>VLOOKUP("黑暗魔狼", Data!$B:$D,H1, FALSE)</f>
        <v>黑暗地狱犬</v>
      </c>
      <c r="B10" s="81" t="s">
        <v>26</v>
      </c>
      <c r="C10" s="82" t="str">
        <f>VLOOKUP("南部高地-書院", Data!$B:$D,H1, FALSE)
&amp;CHAR(10)&amp;VLOOKUP("苦痛刑牢", Data!$B:$D,H1, FALSE)</f>
        <v>南方高地-传教所
苦痛大厅</v>
      </c>
      <c r="D10" s="85" t="str">
        <f>VLOOKUP("穢邪奴僕", Data!$B:$D,H1, FALSE)</f>
        <v>不洁的奴役体</v>
      </c>
      <c r="E10" s="81" t="s">
        <v>26</v>
      </c>
      <c r="F10" s="82" t="str">
        <f>VLOOKUP("李奧瑞克狩獵場-高地洞穴", Data!$B:$D,H1, FALSE)
&amp;CHAR(10)&amp;VLOOKUP("苦痛刑牢", Data!$B:$D,H1, FALSE)</f>
        <v>李奧瑞克的狩猎场-高地洞穴
苦痛大厅</v>
      </c>
      <c r="G10" s="75"/>
      <c r="H10" s="75"/>
    </row>
    <row r="11" spans="1:8" ht="44" thickBot="1">
      <c r="A11" s="142" t="str">
        <f>VLOOKUP("掘墓屍魔", Data!$B:$D,H1, FALSE)</f>
        <v>无殓巨尸</v>
      </c>
      <c r="B11" s="81" t="s">
        <v>26</v>
      </c>
      <c r="C11" s="84" t="str">
        <f>VLOOKUP("苦痛刑牢", Data!$B:$D,H1, FALSE)</f>
        <v>苦痛大厅</v>
      </c>
      <c r="D11" s="89" t="str">
        <f>VLOOKUP("飢餓的殭屍", Data!$B:$D,H1, FALSE)</f>
        <v>饥饿的行尸</v>
      </c>
      <c r="E11" s="87" t="s">
        <v>26</v>
      </c>
      <c r="F11" s="88" t="str">
        <f>VLOOKUP("大教堂第一層", Data!$B:$D,H1, FALSE)
&amp;CHAR(10)&amp;VLOOKUP("悲泣荒原", Data!$B:$D,H1, FALSE)
&amp;CHAR(10)&amp;VLOOKUP("荒棄墓園-被褻瀆的墓穴", Data!$B:$D,H1, FALSE)</f>
        <v>大教堂一层
哭泣山谷
荒废的墓地-污秽的墓穴</v>
      </c>
      <c r="G11" s="75"/>
      <c r="H11" s="75"/>
    </row>
    <row r="12" spans="1:8" ht="44" thickBot="1">
      <c r="A12" s="143" t="str">
        <f>VLOOKUP("飢餓的死者", Data!$B:$D,H1, FALSE)</f>
        <v>恶馋亡灵</v>
      </c>
      <c r="B12" s="87" t="s">
        <v>26</v>
      </c>
      <c r="C12" s="88" t="str">
        <f>VLOOKUP("大教堂第一層", Data!$B:$D,H1, FALSE)
&amp;CHAR(10)&amp;VLOOKUP("悲泣荒原", Data!$B:$D,H1, FALSE)
&amp;CHAR(10)&amp;VLOOKUP("荒棄墓園-被褻瀆的墓穴", Data!$B:$D,H1, FALSE)</f>
        <v>大教堂一层
哭泣山谷
荒废的墓地-污秽的墓穴</v>
      </c>
      <c r="D12" s="93" t="str">
        <f>VLOOKUP("沉淪魔督軍", Data!$B:$D,H1, FALSE)</f>
        <v>堕落监工</v>
      </c>
      <c r="E12" s="91" t="s">
        <v>0</v>
      </c>
      <c r="F12" s="94" t="str">
        <f>VLOOKUP("嚎泣高原", Data!$B:$D,H1, FALSE)
&amp;CHAR(10)&amp;VLOOKUP("黑谷礦坑", Data!$B:$D,H1, FALSE)
&amp;CHAR(10)&amp;VLOOKUP("刺風沙漠", Data!$B:$D,H1, FALSE)</f>
        <v>凄风苔原
崖山矿场
烈风之地</v>
      </c>
      <c r="G12" s="75"/>
      <c r="H12" s="75"/>
    </row>
    <row r="13" spans="1:8" ht="43.5">
      <c r="A13" s="144" t="str">
        <f>VLOOKUP("沉淪魔", Data!$B:$D,H1, FALSE)</f>
        <v>堕落者</v>
      </c>
      <c r="B13" s="145" t="s">
        <v>0</v>
      </c>
      <c r="C13" s="146" t="str">
        <f>VLOOKUP("嚎泣高原", Data!$B:$D,H1, FALSE)
&amp;CHAR(10)&amp;VLOOKUP("黑谷礦坑", Data!$B:$D,H1, FALSE)
&amp;CHAR(10)&amp;VLOOKUP("刺風沙漠", Data!$B:$D,H1, FALSE)</f>
        <v>凄风苔原
崖山矿场
烈风之地</v>
      </c>
      <c r="D13" s="98" t="str">
        <f>VLOOKUP("沉淪魔苦力", Data!$B:$D,H1, FALSE)</f>
        <v>堕落苦工</v>
      </c>
      <c r="E13" s="96" t="s">
        <v>0</v>
      </c>
      <c r="F13" s="99" t="str">
        <f>VLOOKUP("達厄古綠洲", Data!$B:$D,H1, FALSE)</f>
        <v>达尔格绿洲</v>
      </c>
      <c r="G13" s="75"/>
      <c r="H13" s="75"/>
    </row>
    <row r="14" spans="1:8" ht="29">
      <c r="A14" s="147" t="str">
        <f>VLOOKUP("沉淪魔兇犬", Data!$B:$D,H1, FALSE)</f>
        <v>堕落犬</v>
      </c>
      <c r="B14" s="96" t="s">
        <v>0</v>
      </c>
      <c r="C14" s="97" t="str">
        <f>VLOOKUP("佐敦庫勒秘庫-風暴長廊（僅在沉淪魔場景出現）", Data!$B:$D,H1, FALSE)</f>
        <v>佐敦·库勒藏书馆-风暴殿堂（仅在沉沦魔场景出现）</v>
      </c>
      <c r="D14" s="98" t="str">
        <f>VLOOKUP("沉淪喚魔師", Data!$B:$D,H1, FALSE)</f>
        <v>堕落巫师</v>
      </c>
      <c r="E14" s="96" t="s">
        <v>0</v>
      </c>
      <c r="F14" s="99" t="str">
        <f>VLOOKUP("達厄古綠洲", Data!$B:$D,H1, FALSE)</f>
        <v>达尔格绿洲</v>
      </c>
      <c r="G14" s="75"/>
      <c r="H14" s="75"/>
    </row>
    <row r="15" spans="1:8" ht="43.5">
      <c r="A15" s="147" t="str">
        <f>VLOOKUP("咒虐者", Data!$B:$D,H1, FALSE)</f>
        <v>被诅咒者</v>
      </c>
      <c r="B15" s="96" t="s">
        <v>0</v>
      </c>
      <c r="C15" s="97" t="str">
        <f>VLOOKUP("東側水道", Data!$B:$D,H1, FALSE)
&amp;CHAR(10)&amp;VLOOKUP("西側水道", Data!$B:$D,H1, FALSE)
&amp;CHAR(10)&amp;VLOOKUP("嚎泣高原", Data!$B:$D,H1, FALSE)</f>
        <v>东部水渠
西部水渠
凄风苔原</v>
      </c>
      <c r="D15" s="98" t="str">
        <f>VLOOKUP("兇殘妖蝠", Data!$B:$D,H1, FALSE)</f>
        <v>凶残的飞鸟</v>
      </c>
      <c r="E15" s="96" t="s">
        <v>0</v>
      </c>
      <c r="F15" s="97" t="str">
        <f>VLOOKUP("達厄古綠洲-古老的洞穴", Data!$B:$D,H1, FALSE)
&amp;CHAR(10)&amp;VLOOKUP("達厄古綠洲-積水的洞穴", Data!$B:$D,H1, FALSE)</f>
        <v>达尔格绿洲-远古洞穴
达尔格绿洲-漫水洞穴</v>
      </c>
      <c r="G15" s="75"/>
      <c r="H15" s="75"/>
    </row>
    <row r="16" spans="1:8" ht="16.5">
      <c r="A16" s="147" t="str">
        <f>VLOOKUP("亡者之靈", Data!$B:$D,H1, FALSE)</f>
        <v>催命恶魂</v>
      </c>
      <c r="B16" s="96" t="s">
        <v>0</v>
      </c>
      <c r="C16" s="99" t="str">
        <f>VLOOKUP("達厄古綠洲-神秘的洞穴", Data!$B:$D,H1, FALSE)</f>
        <v>达尔格绿洲-神秘洞穴</v>
      </c>
      <c r="D16" s="98" t="str">
        <f>VLOOKUP("陰森亡靈", Data!$B:$D,H1, FALSE)</f>
        <v>厉鬼</v>
      </c>
      <c r="E16" s="96" t="s">
        <v>0</v>
      </c>
      <c r="F16" s="99" t="str">
        <f>VLOOKUP("佐敦庫勒秘庫-暗影之境", Data!$B:$D,H1, FALSE)</f>
        <v>佐敦·库勒藏书馆-暗影领域</v>
      </c>
      <c r="G16" s="75"/>
      <c r="H16" s="75"/>
    </row>
    <row r="17" spans="1:8" ht="43.5">
      <c r="A17" s="147" t="str">
        <f>VLOOKUP("兇狠的食屍鬼", Data!$B:$D,H1, FALSE)</f>
        <v>恶毒的食尸鬼</v>
      </c>
      <c r="B17" s="96" t="s">
        <v>0</v>
      </c>
      <c r="C17" s="99" t="str">
        <f>VLOOKUP("嚎泣高原-熱風洞窟", Data!$B:$D,H1, FALSE)</f>
        <v>凄风苔原-热风洞窟</v>
      </c>
      <c r="D17" s="98" t="str">
        <f>VLOOKUP("拉庫尼女獵手", Data!$B:$D,H1, FALSE)</f>
        <v>豹人女猎手</v>
      </c>
      <c r="E17" s="96" t="s">
        <v>0</v>
      </c>
      <c r="F17" s="97" t="str">
        <f>VLOOKUP("碎石谷", Data!$B:$D,H1, FALSE)
&amp;CHAR(10)&amp;VLOOKUP("嚎泣高原", Data!$B:$D,H1, FALSE)
&amp;CHAR(10)&amp;VLOOKUP("刺風沙漠", Data!$B:$D,H1, FALSE)</f>
        <v>破碎峡谷
凄风苔原
烈风之地</v>
      </c>
      <c r="G17" s="75"/>
      <c r="H17" s="75"/>
    </row>
    <row r="18" spans="1:8" ht="29">
      <c r="A18" s="148" t="str">
        <f>VLOOKUP("拉庫尼狂刀手", Data!$B:$D,H1, FALSE)</f>
        <v>豹人鞭笞者</v>
      </c>
      <c r="B18" s="149" t="s">
        <v>0</v>
      </c>
      <c r="C18" s="97" t="str">
        <f>VLOOKUP("淒涼沙地", Data!$B:$D,H1, FALSE)</f>
        <v>凄凉沙漠</v>
      </c>
      <c r="D18" s="98" t="str">
        <f>VLOOKUP("岩石巨人", Data!$B:$D,H1, FALSE)</f>
        <v>石巨人</v>
      </c>
      <c r="E18" s="96" t="s">
        <v>0</v>
      </c>
      <c r="F18" s="97" t="str">
        <f>VLOOKUP("佐敦庫勒秘庫-未知深境", Data!$B:$D,H1, FALSE)
&amp;CHAR(10)&amp;VLOOKUP("佐敦庫勒秘庫-風暴長廊", Data!$B:$D,H1, FALSE)</f>
        <v>佐敦·库勒藏书馆-无底深渊
佐敦·库勒藏书馆-风暴殿堂</v>
      </c>
      <c r="G18" s="75"/>
      <c r="H18" s="75"/>
    </row>
    <row r="19" spans="1:8" ht="43.5">
      <c r="A19" s="147" t="str">
        <f>VLOOKUP("沙岩巨像", Data!$B:$D,H1, FALSE)</f>
        <v>沙漠巨兽</v>
      </c>
      <c r="B19" s="96" t="s">
        <v>0</v>
      </c>
      <c r="C19" s="99" t="str">
        <f>VLOOKUP("佐敦庫勒秘庫-暗影之境", Data!$B:$D,H1, FALSE)</f>
        <v>佐敦·库勒藏书馆-暗影领域</v>
      </c>
      <c r="D19" s="98" t="str">
        <f>VLOOKUP("沙漠巨蜂", Data!$B:$D,H1, FALSE)</f>
        <v>沙漠蜂</v>
      </c>
      <c r="E19" s="96" t="s">
        <v>0</v>
      </c>
      <c r="F19" s="97" t="str">
        <f>VLOOKUP("碎石谷", Data!$B:$D,H1, FALSE)
&amp;CHAR(10)&amp;VLOOKUP("嚎泣高原", Data!$B:$D,H1, FALSE)
&amp;CHAR(10)&amp;VLOOKUP("刺風沙漠", Data!$B:$D,H1, FALSE)</f>
        <v>破碎峡谷
凄风苔原
烈风之地</v>
      </c>
      <c r="G19" s="75"/>
      <c r="H19" s="75"/>
    </row>
    <row r="20" spans="1:8" ht="29">
      <c r="A20" s="147" t="str">
        <f>VLOOKUP("收割魔", Data!$B:$D,H1, FALSE)</f>
        <v>收割者</v>
      </c>
      <c r="B20" s="96" t="s">
        <v>0</v>
      </c>
      <c r="C20" s="97" t="str">
        <f>VLOOKUP("淒涼沙地-鑽岩蟲洞穴", Data!$B:$D,H1, FALSE)</f>
        <v>凄凉沙漠-掘地骇物的洞穴</v>
      </c>
      <c r="D20" s="98" t="str">
        <f>VLOOKUP("骷髏掠劫者", Data!$B:$D,H1, FALSE)</f>
        <v>骷髅袭击者</v>
      </c>
      <c r="E20" s="96" t="s">
        <v>0</v>
      </c>
      <c r="F20" s="97" t="str">
        <f>VLOOKUP("佐敦庫勒秘庫-未知深境", Data!$B:$D,H1, FALSE)
&amp;CHAR(10)&amp;VLOOKUP("佐敦庫勒秘庫-風暴長廊", Data!$B:$D,H1, FALSE)</f>
        <v>佐敦·库勒藏书馆-无底深渊
佐敦·库勒藏书馆-风暴殿堂</v>
      </c>
      <c r="G20" s="75"/>
      <c r="H20" s="75"/>
    </row>
    <row r="21" spans="1:8" ht="29">
      <c r="A21" s="147" t="str">
        <f>VLOOKUP("骸骨戰士", Data!$B:$D,H1, FALSE)</f>
        <v>白骨战士</v>
      </c>
      <c r="B21" s="96" t="s">
        <v>0</v>
      </c>
      <c r="C21" s="97" t="str">
        <f>VLOOKUP("卡爾蒂姆下水道", Data!$B:$D,H1, FALSE)
&amp;CHAR(10)&amp;VLOOKUP("達厄古綠洲-遺忘廢墟", Data!$B:$D,H1, FALSE)</f>
        <v>卡尔蒂姆下水道
达尔格绿洲-被遗忘的废墟</v>
      </c>
      <c r="D21" s="98" t="str">
        <f>VLOOKUP("骷髏劈脊者", Data!$B:$D,H1, FALSE)</f>
        <v>凿脊者</v>
      </c>
      <c r="E21" s="96" t="s">
        <v>0</v>
      </c>
      <c r="F21" s="99" t="str">
        <f>VLOOKUP("達厄古綠洲-遺忘廢墟", Data!$B:$D,H1, FALSE)</f>
        <v>达尔格绿洲-被遗忘的废墟</v>
      </c>
      <c r="G21" s="75"/>
      <c r="H21" s="75"/>
    </row>
    <row r="22" spans="1:8" ht="29">
      <c r="A22" s="147" t="str">
        <f>VLOOKUP("骷髏遊俠", Data!$B:$D,H1, FALSE)</f>
        <v>骷髅游侠</v>
      </c>
      <c r="B22" s="96"/>
      <c r="C22" s="99" t="str">
        <f>VLOOKUP("卡爾蒂姆下水道", Data!$B:$D,H1, FALSE)</f>
        <v>卡尔蒂姆下水道</v>
      </c>
      <c r="D22" s="98" t="str">
        <f>VLOOKUP("凍寒傀儡", Data!$B:$D,H1, FALSE)</f>
        <v>寒霜构造体</v>
      </c>
      <c r="E22" s="96" t="s">
        <v>0</v>
      </c>
      <c r="F22" s="97" t="str">
        <f>VLOOKUP("達厄古綠洲-古老的洞穴", Data!$B:$D,H1, FALSE)
&amp;CHAR(10)&amp;VLOOKUP("佐敦庫勒秘庫-未知深境", Data!$B:$D,H1, FALSE)</f>
        <v>达尔格绿洲-远古洞穴
佐敦·库勒藏书馆-无底深渊</v>
      </c>
      <c r="G22" s="75"/>
      <c r="H22" s="75"/>
    </row>
    <row r="23" spans="1:8" ht="72.5">
      <c r="A23" s="147" t="str">
        <f>VLOOKUP("電能守護者", Data!$B:$D,H1, FALSE)</f>
        <v>闪电卫士</v>
      </c>
      <c r="B23" s="96" t="s">
        <v>0</v>
      </c>
      <c r="C23" s="97" t="str">
        <f>VLOOKUP("達厄古綠洲-遺忘廢墟", Data!$B:$D,H1, FALSE)
&amp;CHAR(10)&amp;VLOOKUP("達厄古綠洲-神秘的洞穴", Data!$B:$D,H1, FALSE)
&amp;CHAR(10)&amp;VLOOKUP("淒涼沙地-刺客地庫", Data!$B:$D,H1, FALSE)</f>
        <v>达尔格绿洲-被遗忘的废墟
达尔格绿洲-神秘洞穴
凄凉沙漠-刺客密室</v>
      </c>
      <c r="D23" s="98" t="str">
        <f>VLOOKUP("劇毒守護者", Data!$B:$D,H1, FALSE)</f>
        <v>剧毒卫士</v>
      </c>
      <c r="E23" s="96" t="s">
        <v>0</v>
      </c>
      <c r="F23" s="97" t="str">
        <f>VLOOKUP("刺風沙漠-失落塑像之室", Data!$B:$D,H1, FALSE)
&amp;CHAR(10)&amp;VLOOKUP("卡爾蒂姆下水道", Data!$B:$D,H1, FALSE)
&amp;CHAR(10)&amp;VLOOKUP("卡爾蒂姆市集-廢棄水道", Data!$B:$D,H1, FALSE)
&amp;CHAR(10)&amp;VLOOKUP("西側水道", Data!$B:$D,H1, FALSE)
&amp;CHAR(10)&amp;VLOOKUP("東側水道", Data!$B:$D,H1, FALSE)</f>
        <v>烈风之地-失落人偶的密厅
卡尔蒂姆下水道
卡尔蒂姆集市-被淹没的堤道
西部水渠
东部水渠</v>
      </c>
      <c r="G23" s="75"/>
      <c r="H23" s="75"/>
    </row>
    <row r="24" spans="1:8" ht="29">
      <c r="A24" s="147" t="str">
        <f>VLOOKUP("盤蛇魅影怪", Data!$B:$D,H1, FALSE)</f>
        <v>盘蛇欺诈者</v>
      </c>
      <c r="B24" s="96" t="s">
        <v>0</v>
      </c>
      <c r="C24" s="97" t="str">
        <f>VLOOKUP("達厄古綠洲", Data!$B:$D,H1, FALSE)
&amp;CHAR(10)&amp;VLOOKUP("刺風沙漠-廢墟", Data!$B:$D,H1, FALSE)</f>
        <v>达尔格绿洲
烈风之地-废墟</v>
      </c>
      <c r="D24" s="98" t="str">
        <f>VLOOKUP("吐網蜘蛛", Data!$B:$D,H1, FALSE)</f>
        <v>喷网蜘蛛</v>
      </c>
      <c r="E24" s="96" t="s">
        <v>0</v>
      </c>
      <c r="F24" s="97" t="str">
        <f>VLOOKUP("淒涼沙地-背叛者洞穴", Data!$B:$D,H1, FALSE)
&amp;CHAR(10)&amp;VLOOKUP("淒涼沙地-兇邪的洞穴", Data!$B:$D,H1, FALSE)</f>
        <v>凄凉沙漠-背叛者洞穴
凄凉沙漠-邪恶洞窟</v>
      </c>
      <c r="G24" s="75"/>
      <c r="H24" s="75"/>
    </row>
    <row r="25" spans="1:8" ht="44" thickBot="1">
      <c r="A25" s="150" t="str">
        <f>VLOOKUP("幼生蛛群", Data!$B:$D,H1, FALSE)</f>
        <v>巢蛛</v>
      </c>
      <c r="B25" s="101" t="s">
        <v>0</v>
      </c>
      <c r="C25" s="102" t="str">
        <f>VLOOKUP("淒涼沙地-背叛者洞穴", Data!$B:$D,H1, FALSE)
&amp;CHAR(10)&amp;VLOOKUP("淒涼沙地-兇邪的洞穴", Data!$B:$D,H1, FALSE)
&amp;CHAR(10)&amp;VLOOKUP("佐敦庫勒秘庫-風暴長廊", Data!$B:$D,H1, FALSE)</f>
        <v>凄凉沙漠-背叛者洞穴
凄凉沙漠-邪恶洞窟
佐敦·库勒藏书馆-风暴殿堂</v>
      </c>
      <c r="D25" s="103" t="str">
        <f>VLOOKUP("兇邪蟲群", Data!$B:$D,H1, FALSE)</f>
        <v>虫群</v>
      </c>
      <c r="E25" s="101" t="s">
        <v>0</v>
      </c>
      <c r="F25" s="102" t="str">
        <f>VLOOKUP("淒涼沙地-刺客地庫", Data!$B:$D,H1, FALSE)
&amp;CHAR(10)&amp;VLOOKUP("佐敦庫勒秘庫-風暴長廊", Data!$B:$D,H1, FALSE)</f>
        <v>凄凉沙漠-刺客密室
佐敦·库勒藏书馆-风暴殿堂</v>
      </c>
      <c r="G25" s="75"/>
      <c r="H25" s="75"/>
    </row>
    <row r="26" spans="1:8" ht="58.5" thickBot="1">
      <c r="A26" s="230" t="str">
        <f>VLOOKUP("兇暴移行獸", Data!$B:$D,H1, FALSE)</f>
        <v>巨型移形兽</v>
      </c>
      <c r="B26" s="231" t="s">
        <v>29</v>
      </c>
      <c r="C26" s="232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D26" s="233" t="str">
        <f>VLOOKUP("震地魔", Data!$B:$D,H1, FALSE)</f>
        <v>恶魔震地者</v>
      </c>
      <c r="E26" s="234" t="s">
        <v>29</v>
      </c>
      <c r="F26" s="235" t="str">
        <f>VLOOKUP("戰場-防禦碉堡", Data!$B:$D,H1, FALSE)</f>
        <v>战场-坚固的地堡</v>
      </c>
      <c r="G26" s="75"/>
      <c r="H26" s="75"/>
    </row>
    <row r="27" spans="1:8" ht="44" thickBot="1">
      <c r="A27" s="151" t="str">
        <f>VLOOKUP("裝甲破壞魔", Data!$B:$D,H1, FALSE)</f>
        <v>铁甲摧毁者</v>
      </c>
      <c r="B27" s="106" t="s">
        <v>1</v>
      </c>
      <c r="C27" s="107" t="str">
        <f>VLOOKUP("希望園圃第一階", Data!$B:$D,H1, FALSE)</f>
        <v>希望花园一层</v>
      </c>
      <c r="D27" s="216" t="str">
        <f>VLOOKUP("瘟疫使者", Data!$B:$D,H1, FALSE)</f>
        <v>疫病传染体</v>
      </c>
      <c r="E27" s="217" t="s">
        <v>29</v>
      </c>
      <c r="F27" s="218" t="str">
        <f>VLOOKUP("戰場", Data!$B:$D,H1, FALSE)
&amp;CHAR(10)&amp;VLOOKUP("殺戮戰場", Data!$B:$D,H1, FALSE)
&amp;CHAR(10)&amp;VLOOKUP("亞瑞特巨坑第一層", Data!$B:$D,H1, FALSE)</f>
        <v>战场
血腥战场
亚瑞特巨坑一层</v>
      </c>
      <c r="G27" s="75"/>
      <c r="H27" s="75"/>
    </row>
    <row r="28" spans="1:8" ht="43.5">
      <c r="A28" s="238" t="str">
        <f>VLOOKUP("魔翼妖蝠", Data!$B:$D,H1, FALSE)</f>
        <v>地狱天鬼</v>
      </c>
      <c r="B28" s="214" t="s">
        <v>29</v>
      </c>
      <c r="C28" s="215" t="str">
        <f>VLOOKUP("天冠城垛", Data!$B:$D,H1, FALSE)
&amp;CHAR(10)&amp;VLOOKUP("石壘", Data!$B:$D,H1, FALSE)
&amp;CHAR(10)&amp;VLOOKUP("亞瑞特之門-兵營第一層", Data!$B:$D,H1, FALSE)</f>
        <v>天冠城垛
坚石壁垒
亚瑞特大门-营房一层</v>
      </c>
      <c r="D28" s="216" t="str">
        <f>VLOOKUP("惡魔突擊兵", Data!$B:$D,H1, FALSE)</f>
        <v>恶魔士兵</v>
      </c>
      <c r="E28" s="217" t="s">
        <v>29</v>
      </c>
      <c r="F28" s="218" t="str">
        <f>VLOOKUP("天冠城垛", Data!$B:$D,H1, FALSE)
&amp;CHAR(10)&amp;VLOOKUP("石壘", Data!$B:$D,H1, FALSE)
&amp;CHAR(10)&amp;VLOOKUP("要塞下層第一層", Data!$B:$D,H1, FALSE)</f>
        <v>天冠城垛
坚石壁垒
要塞深渊一层</v>
      </c>
      <c r="G28" s="75"/>
      <c r="H28" s="75"/>
    </row>
    <row r="29" spans="1:8" ht="58">
      <c r="A29" s="239" t="str">
        <f>VLOOKUP("沉淪魔霸主", Data!$B:$D,H1, FALSE)</f>
        <v>堕落领主</v>
      </c>
      <c r="B29" s="217" t="s">
        <v>29</v>
      </c>
      <c r="C29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D29" s="236" t="str">
        <f>VLOOKUP("沉淪魔奴隸主", Data!$B:$D,H1, FALSE)</f>
        <v>堕落奴隶主</v>
      </c>
      <c r="E29" s="217" t="s">
        <v>29</v>
      </c>
      <c r="F29" s="218" t="str">
        <f>VLOOKUP("拉基斯路口", Data!$B:$D,H1, FALSE)
&amp;CHAR(10)&amp;VLOOKUP("譴罪之塔第一層", Data!$B:$D,H1, FALSE)</f>
        <v>拉基斯之渡
天谴者之塔一层</v>
      </c>
      <c r="G29" s="75"/>
      <c r="H29" s="75"/>
    </row>
    <row r="30" spans="1:8" ht="58">
      <c r="A30" s="239" t="str">
        <f>VLOOKUP("沉淪魔蠻兵", Data!$B:$D,H1, FALSE)</f>
        <v>堕落蛮兵</v>
      </c>
      <c r="B30" s="217" t="s">
        <v>29</v>
      </c>
      <c r="C30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D30" s="216" t="str">
        <f>VLOOKUP("沉淪魔士兵", Data!$B:$D,H1, FALSE)</f>
        <v>堕落士兵</v>
      </c>
      <c r="E30" s="217" t="s">
        <v>29</v>
      </c>
      <c r="F30" s="218" t="str">
        <f>VLOOKUP("拉基斯路口", Data!$B:$D,H1, FALSE)
&amp;CHAR(10)&amp;VLOOKUP("深淵之緣", Data!$B:$D,H1, FALSE)
&amp;CHAR(10)&amp;VLOOKUP("亞瑞特巨坑第一層", Data!$B:$D,H1, FALSE)
&amp;CHAR(10)&amp;VLOOKUP("譴罪之塔第一層", Data!$B:$D,H1, FALSE)</f>
        <v>拉基斯之渡
深渊的尽头
亚瑞特巨坑一层
天谴者之塔一层</v>
      </c>
      <c r="G30" s="75"/>
      <c r="H30" s="75"/>
    </row>
    <row r="31" spans="1:8" ht="58">
      <c r="A31" s="239" t="str">
        <f>VLOOKUP("沉淪魔雜犬", Data!$B:$D,H1, FALSE)</f>
        <v>堕落混血魔</v>
      </c>
      <c r="B31" s="217" t="s">
        <v>29</v>
      </c>
      <c r="C31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D31" s="216" t="str">
        <f>VLOOKUP("沉淪魔地獄犬", Data!$B:$D,H1, FALSE)</f>
        <v>堕落地狱犬</v>
      </c>
      <c r="E31" s="217" t="s">
        <v>29</v>
      </c>
      <c r="F31" s="218" t="str">
        <f>VLOOKUP("拉基斯路口", Data!$B:$D,H1, FALSE)
&amp;CHAR(10)&amp;VLOOKUP("譴罪之塔第一層", Data!$B:$D,H1, FALSE)</f>
        <v>拉基斯之渡
天谴者之塔一层</v>
      </c>
      <c r="G31" s="75"/>
      <c r="H31" s="75"/>
    </row>
    <row r="32" spans="1:8" ht="72.5">
      <c r="A32" s="239" t="str">
        <f>VLOOKUP("血族戰士", Data!$B:$D,H1, FALSE)</f>
        <v>鲜血氏族战士</v>
      </c>
      <c r="B32" s="217" t="s">
        <v>29</v>
      </c>
      <c r="C32" s="218" t="str">
        <f>VLOOKUP("戰場", Data!$B:$D,H1, FALSE)
&amp;CHAR(10)&amp;VLOOKUP("科斯克橋", Data!$B:$D,H1, FALSE)
&amp;CHAR(10)&amp;VLOOKUP("殺戮戰場", Data!$B:$D,H1, FALSE)
&amp;CHAR(10)&amp;VLOOKUP("拉基斯路口", Data!$B:$D,H1, FALSE)
&amp;CHAR(10)&amp;VLOOKUP("拉基斯路口-橋底地窖", Data!$B:$D,H1, FALSE)</f>
        <v>战场
科尔斯克之桥
血腥战场
拉基斯之渡
拉基斯之渡-桥底</v>
      </c>
      <c r="D32" s="216" t="str">
        <f>VLOOKUP("血族打擊兵", Data!$B:$D,H1, FALSE)</f>
        <v>鲜血氏族撕裂者</v>
      </c>
      <c r="E32" s="217" t="s">
        <v>29</v>
      </c>
      <c r="F32" s="218" t="str">
        <f>VLOOKUP("詛咒之塔第一層", Data!$B:$D,H1, FALSE)
&amp;CHAR(10)&amp;VLOOKUP("詛咒之塔第二層", Data!$B:$D,H1, FALSE)</f>
        <v>诅咒者之塔一层
诅咒者之塔二层</v>
      </c>
      <c r="G32" s="75"/>
      <c r="H32" s="75"/>
    </row>
    <row r="33" spans="1:8" ht="58">
      <c r="A33" s="239" t="str">
        <f>VLOOKUP("血族標槍兵", Data!$B:$D,H1, FALSE)</f>
        <v>鲜血氏族穿心手</v>
      </c>
      <c r="B33" s="217" t="s">
        <v>29</v>
      </c>
      <c r="C33" s="218" t="str">
        <f>VLOOKUP("亞瑞特巨坑第一層", Data!$B:$D,H1, FALSE)
&amp;CHAR(10)&amp;VLOOKUP("亞瑞特巨坑第二層", Data!$B:$D,H1, FALSE)
&amp;CHAR(10)&amp;VLOOKUP("詛咒之塔第一層", Data!$B:$D,H1, FALSE)
&amp;CHAR(10)&amp;VLOOKUP("詛咒之塔第二層", Data!$B:$D,H1, FALSE)</f>
        <v>亚瑞特巨坑一层
亚瑞特巨坑二层
诅咒者之塔一层
诅咒者之塔二层</v>
      </c>
      <c r="D33" s="216" t="str">
        <f>VLOOKUP("血族法師", Data!$B:$D,H1, FALSE)</f>
        <v>鲜血氏族巫师</v>
      </c>
      <c r="E33" s="217" t="s">
        <v>29</v>
      </c>
      <c r="F33" s="218" t="str">
        <f>VLOOKUP("殺戮戰場", Data!$B:$D,H1, FALSE)
&amp;CHAR(10)&amp;VLOOKUP("拉基斯路口", Data!$B:$D,H1, FALSE)
&amp;CHAR(10)&amp;VLOOKUP("拉基斯路口-橋底地窖", Data!$B:$D,H1, FALSE)</f>
        <v>血腥战场
拉基斯之渡
拉基斯之渡-桥底</v>
      </c>
      <c r="G33" s="75"/>
      <c r="H33" s="75"/>
    </row>
    <row r="34" spans="1:8" ht="79.5" customHeight="1">
      <c r="A34" s="239" t="str">
        <f>VLOOKUP("血族玄術師", Data!$B:$D,H1, FALSE)</f>
        <v>鲜血氏族秘术师</v>
      </c>
      <c r="B34" s="217" t="s">
        <v>29</v>
      </c>
      <c r="C34" s="218" t="str">
        <f>VLOOKUP("亞瑞特巨坑第二層", Data!$B:$D,H1, FALSE)
&amp;CHAR(10)&amp;VLOOKUP("詛咒之塔第一層", Data!$B:$D,H1, FALSE)
&amp;CHAR(10)&amp;VLOOKUP("詛咒之塔第二層", Data!$B:$D,H1, FALSE)</f>
        <v>亚瑞特巨坑二层
诅咒者之塔一层
诅咒者之塔二层</v>
      </c>
      <c r="D34" s="216" t="str">
        <f>VLOOKUP("冬禍女獵手", Data!$B:$D,H1, FALSE)</f>
        <v>霜鬓女猎手</v>
      </c>
      <c r="E34" s="217" t="s">
        <v>29</v>
      </c>
      <c r="F34" s="219" t="str">
        <f>VLOOKUP("殺戮戰場-寒霜洞窟", Data!$B:$D,H1, FALSE)</f>
        <v>血腥战场-寒冰洞</v>
      </c>
      <c r="G34" s="75"/>
      <c r="H34" s="75"/>
    </row>
    <row r="35" spans="1:8" ht="58">
      <c r="A35" s="239" t="str">
        <f>VLOOKUP("冥河毒蠍", Data!$B:$D,H1, FALSE)</f>
        <v>地狱爬行者</v>
      </c>
      <c r="B35" s="217" t="s">
        <v>29</v>
      </c>
      <c r="C35" s="218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D35" s="216" t="str">
        <f>VLOOKUP("冰刺脊魔", Data!$B:$D,H1, FALSE)</f>
        <v>寒冰刺背兽</v>
      </c>
      <c r="E35" s="217" t="s">
        <v>29</v>
      </c>
      <c r="F35" s="218" t="str">
        <f>VLOOKUP("要塞下層", Data!$B:$D,H1, FALSE)
&amp;CHAR(10)&amp;VLOOKUP("殺戮戰場-寒霜洞窟", Data!$B:$D,H1, FALSE)</f>
        <v>要塞深渊
血腥战场-寒冰洞</v>
      </c>
      <c r="G35" s="75"/>
      <c r="H35" s="75"/>
    </row>
    <row r="36" spans="1:8" ht="16.5">
      <c r="A36" s="239" t="str">
        <f>VLOOKUP("骷髏掠奪者", Data!$B:$D,H1, FALSE)</f>
        <v>骷髅掠夺者</v>
      </c>
      <c r="B36" s="217" t="s">
        <v>29</v>
      </c>
      <c r="C36" s="219" t="str">
        <f>VLOOKUP("戰場-戰場儲備所", Data!$B:$D,H1, FALSE)</f>
        <v>战场-战备物资储藏室</v>
      </c>
      <c r="D36" s="216" t="str">
        <f>VLOOKUP("顱骸砍劈者", Data!$B:$D,H1, FALSE)</f>
        <v>劈颅手</v>
      </c>
      <c r="E36" s="217" t="s">
        <v>29</v>
      </c>
      <c r="F36" s="219" t="str">
        <f>VLOOKUP("戰場-戰場儲備所", Data!$B:$D,H1, FALSE)</f>
        <v>战场-战备物资储藏室</v>
      </c>
      <c r="G36" s="75"/>
      <c r="H36" s="75"/>
    </row>
    <row r="37" spans="1:8" ht="29">
      <c r="A37" s="239" t="str">
        <f>VLOOKUP("黑暗骷髏弓手", Data!$B:$D,H1, FALSE)</f>
        <v>黑骷髅弓手</v>
      </c>
      <c r="B37" s="217" t="s">
        <v>29</v>
      </c>
      <c r="C37" s="219" t="str">
        <f>VLOOKUP("要塞下層", Data!$B:$D,H1, FALSE)</f>
        <v>要塞深渊</v>
      </c>
      <c r="D37" s="216" t="str">
        <f>VLOOKUP("撕魂獸", Data!$B:$D,H1, FALSE)</f>
        <v>灵魂撕裂者</v>
      </c>
      <c r="E37" s="217" t="s">
        <v>29</v>
      </c>
      <c r="F37" s="218" t="str">
        <f>VLOOKUP("要塞下層第一層", Data!$B:$D,H1, FALSE)
&amp;CHAR(10)&amp;VLOOKUP("要塞下層第二層", Data!$B:$D,H1, FALSE)</f>
        <v>要塞深渊一层
要塞深渊二层</v>
      </c>
      <c r="G37" s="75"/>
      <c r="H37" s="75"/>
    </row>
    <row r="38" spans="1:8" ht="58.5" thickBot="1">
      <c r="A38" s="220" t="str">
        <f>VLOOKUP("魅魔", Data!$B:$D,H1, FALSE)</f>
        <v>魅魔</v>
      </c>
      <c r="B38" s="221" t="s">
        <v>29</v>
      </c>
      <c r="C38" s="222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D38" s="237" t="str">
        <f>VLOOKUP("瘟疫蟲群", Data!$B:$D,H1, FALSE)</f>
        <v>疫病虫群</v>
      </c>
      <c r="E38" s="221" t="s">
        <v>29</v>
      </c>
      <c r="F38" s="225" t="str">
        <f>VLOOKUP("戰場-克萊德哨站", Data!$B:$D,H1, FALSE)</f>
        <v>战场-克莱德的哨所</v>
      </c>
      <c r="G38" s="75"/>
      <c r="H38" s="75"/>
    </row>
    <row r="39" spans="1:8" ht="16.5">
      <c r="A39" s="152" t="str">
        <f>VLOOKUP("暗空火妖蝠", Data!$B:$D,H1, FALSE)</f>
        <v>黑天火魔</v>
      </c>
      <c r="B39" s="110" t="s">
        <v>1</v>
      </c>
      <c r="C39" s="110" t="str">
        <f>VLOOKUP("希望園圃第二階", Data!$B:$D,H1, FALSE)</f>
        <v>希望花园二层</v>
      </c>
      <c r="D39" s="153" t="str">
        <f>VLOOKUP("被奴役的夢魘", Data!$B:$D,H1, FALSE)</f>
        <v>奴役梦魇</v>
      </c>
      <c r="E39" s="110" t="s">
        <v>1</v>
      </c>
      <c r="F39" s="110" t="str">
        <f>VLOOKUP("銀光尖塔第二層", Data!$B:$D,H1, FALSE)</f>
        <v>银色高塔二层</v>
      </c>
      <c r="G39" s="75"/>
      <c r="H39" s="75"/>
    </row>
    <row r="40" spans="1:8" ht="29">
      <c r="A40" s="152" t="str">
        <f>VLOOKUP("巨拳領主", Data!$B:$D,H1, FALSE)</f>
        <v>捶地魔</v>
      </c>
      <c r="B40" s="110" t="s">
        <v>1</v>
      </c>
      <c r="C40" s="110" t="str">
        <f>VLOOKUP("銀光尖塔第二層", Data!$B:$D,H1, FALSE)</f>
        <v>银色高塔二层</v>
      </c>
      <c r="D40" s="153" t="str">
        <f>VLOOKUP("壓制者", Data!$B:$D,H1, FALSE)</f>
        <v>统御魔</v>
      </c>
      <c r="E40" s="110" t="s">
        <v>1</v>
      </c>
      <c r="F40" s="154" t="str">
        <f>VLOOKUP("希望園圃第一階", Data!$B:$D,H1, FALSE)
&amp;CHAR(10)&amp;VLOOKUP("地獄之門第一層", Data!$B:$D,H1, FALSE)</f>
        <v>希望花园一层
地狱裂隙一层</v>
      </c>
      <c r="G40" s="75"/>
      <c r="H40" s="75"/>
    </row>
    <row r="41" spans="1:8" ht="29">
      <c r="A41" s="152" t="str">
        <f>VLOOKUP("魔虜軍團士兵", Data!$B:$D,H1, FALSE)</f>
        <v>魔鲁军团士兵</v>
      </c>
      <c r="B41" s="110" t="s">
        <v>1</v>
      </c>
      <c r="C41" s="154" t="str">
        <f>VLOOKUP("銀光尖塔第一層", Data!$B:$D,H1, FALSE)
&amp;CHAR(10)&amp;VLOOKUP("銀光尖塔第二層", Data!$B:$D,H1, FALSE)</f>
        <v>银色高塔一层
银色高塔二层</v>
      </c>
      <c r="D41" s="153" t="str">
        <f>VLOOKUP("魔虜焚火師", Data!$B:$D,H1, FALSE)</f>
        <v>魔鲁焚化者</v>
      </c>
      <c r="E41" s="110" t="s">
        <v>1</v>
      </c>
      <c r="F41" s="154" t="str">
        <f>VLOOKUP("銀光尖塔第一層", Data!$B:$D,H1, FALSE)
&amp;CHAR(10)&amp;VLOOKUP("銀光尖塔第二層", Data!$B:$D,H1, FALSE)</f>
        <v>银色高塔一层
银色高塔二层</v>
      </c>
      <c r="G41" s="75"/>
      <c r="H41" s="75"/>
    </row>
    <row r="42" spans="1:8" ht="15.5" thickBot="1"/>
    <row r="43" spans="1:8" ht="21.5" thickBot="1">
      <c r="A43" s="728" t="str">
        <f>VLOOKUP("海扁勇士", Data!$B:$D,H1, FALSE)</f>
        <v>海扁勇士</v>
      </c>
      <c r="B43" s="729"/>
      <c r="C43" s="729"/>
      <c r="D43" s="729"/>
      <c r="E43" s="729"/>
      <c r="F43" s="730"/>
    </row>
    <row r="44" spans="1:8" ht="15.5" thickBot="1">
      <c r="A44" t="s">
        <v>124</v>
      </c>
    </row>
    <row r="45" spans="1:8" s="1" customFormat="1" ht="15.5" thickBot="1">
      <c r="A45" s="478" t="s">
        <v>3950</v>
      </c>
      <c r="B45" s="479" t="s">
        <v>3951</v>
      </c>
      <c r="C45" s="480" t="s">
        <v>27</v>
      </c>
      <c r="D45" s="481" t="s">
        <v>3950</v>
      </c>
      <c r="E45" s="479" t="s">
        <v>3951</v>
      </c>
      <c r="F45" s="482" t="s">
        <v>3952</v>
      </c>
    </row>
    <row r="46" spans="1:8" ht="29">
      <c r="A46" s="122" t="str">
        <f>VLOOKUP("喚鼠狂魔", Data!$B:$D,H1, FALSE)</f>
        <v>唤鼠师</v>
      </c>
      <c r="B46" s="123" t="s">
        <v>97</v>
      </c>
      <c r="C46" s="124" t="str">
        <f>VLOOKUP("衛斯馬屈城中區-瘟疫地道", Data!$B:$D,H1, FALSE)
&amp;CHAR(10)&amp;VLOOKUP("衛斯馬屈山城區-骸骨地窖", Data!$B:$D,H1, FALSE)</f>
        <v>威斯特玛城中区-瘟疫地道
威斯特玛上城区-骸骨地窖</v>
      </c>
      <c r="D46" s="125" t="str">
        <f>VLOOKUP("骷髏爬行怪", Data!$B:$D,H1, FALSE)</f>
        <v>骷髅爬行者</v>
      </c>
      <c r="E46" s="123" t="s">
        <v>97</v>
      </c>
      <c r="F46" s="124" t="str">
        <f>VLOOKUP("衛斯馬屈山城區-骸骨地窖", Data!$B:$D,H1, FALSE)</f>
        <v>威斯特玛上城区-骸骨地窖</v>
      </c>
    </row>
    <row r="47" spans="1:8" ht="29">
      <c r="A47" s="126" t="str">
        <f>VLOOKUP("狂怒幽影", Data!$B:$D,H1, FALSE)</f>
        <v>激怒的厉魂</v>
      </c>
      <c r="B47" s="127" t="s">
        <v>97</v>
      </c>
      <c r="C47" s="128" t="str">
        <f>VLOOKUP("衛斯馬屈城中區-瘟疫地道", Data!$B:$D,H1, FALSE)
&amp;CHAR(10)&amp;VLOOKUP("衛斯馬屈山城區-骸骨地窖", Data!$B:$D,H1, FALSE)</f>
        <v>威斯特玛城中区-瘟疫地道
威斯特玛上城区-骸骨地窖</v>
      </c>
      <c r="D47" s="129" t="str">
        <f>VLOOKUP("蛆蟲巢獸", Data!$B:$D,H1, FALSE)</f>
        <v>蛆虫育母</v>
      </c>
      <c r="E47" s="127" t="s">
        <v>97</v>
      </c>
      <c r="F47" s="128" t="str">
        <f>VLOOKUP("溺水沼地-盧瑞石洞", Data!$B:$D,H1, FALSE)
&amp;CHAR(10)&amp;VLOOKUP("溺水沼地-兇險洞窟", Data!$B:$D,H1, FALSE)</f>
        <v>漫水古道-卢雷石洞
漫水古道-凶险洞穴</v>
      </c>
    </row>
    <row r="48" spans="1:8" ht="43.5">
      <c r="A48" s="126" t="str">
        <f>VLOOKUP("笞爬獸", Data!$B:$D,H1, FALSE)</f>
        <v>鞭笞爬行兽</v>
      </c>
      <c r="B48" s="127" t="s">
        <v>96</v>
      </c>
      <c r="C48" s="128" t="str">
        <f>VLOOKUP("溺水沼地-兇險洞窟", Data!$B:$D,H1, FALSE)
&amp;CHAR(10)&amp;VLOOKUP("溺水沼地-盧瑞石洞", Data!$B:$D,H1, FALSE)
&amp;CHAR(10)&amp;VLOOKUP("溺水沼地-曲折洞穴", Data!$B:$D,H1, FALSE)</f>
        <v>漫水古道-凶险洞穴
漫水古道-卢雷石洞
漫水古道-羊肠洞穴</v>
      </c>
      <c r="D48" s="129" t="str">
        <f>VLOOKUP("洞穴蝙蝠", Data!$B:$D,H1, FALSE)</f>
        <v>洞穴蝙蝠</v>
      </c>
      <c r="E48" s="127" t="s">
        <v>96</v>
      </c>
      <c r="F48" s="128" t="str">
        <f>VLOOKUP("溺水沼地-盧瑞石洞", Data!$B:$D,H1, FALSE)</f>
        <v>漫水古道-卢雷石洞</v>
      </c>
    </row>
    <row r="49" spans="1:6" ht="29">
      <c r="A49" s="126" t="str">
        <f>VLOOKUP("利齒沼澤怪", Data!$B:$D,H1, FALSE)</f>
        <v>沼泽怪</v>
      </c>
      <c r="B49" s="127" t="s">
        <v>96</v>
      </c>
      <c r="C49" s="128" t="str">
        <f>VLOOKUP("血沼澤", Data!$B:$D,H1, FALSE)
&amp;CHAR(10)&amp;VLOOKUP("溺水沼地", Data!$B:$D,H1, FALSE)</f>
        <v>鲜血沼泽
漫水古道</v>
      </c>
      <c r="D49" s="129" t="str">
        <f>VLOOKUP("長牙沼澤怪", Data!$B:$D,H1, FALSE)</f>
        <v>尖牙沼泽兽</v>
      </c>
      <c r="E49" s="127" t="s">
        <v>96</v>
      </c>
      <c r="F49" s="128" t="str">
        <f>VLOOKUP("血沼澤", Data!$B:$D,H1, FALSE)
&amp;CHAR(10)&amp;VLOOKUP("溺水沼地", Data!$B:$D,H1, FALSE)</f>
        <v>鲜血沼泽
漫水古道</v>
      </c>
    </row>
    <row r="50" spans="1:6">
      <c r="A50" s="129" t="str">
        <f>VLOOKUP("尖嘯邪巨蝠", Data!$B:$D,H1, FALSE)</f>
        <v>尖啸恐蝠</v>
      </c>
      <c r="B50" s="127" t="s">
        <v>96</v>
      </c>
      <c r="C50" s="128" t="str">
        <f>VLOOKUP("血沼澤", Data!$B:$D,H1, FALSE)</f>
        <v>鲜血沼泽</v>
      </c>
      <c r="D50" s="126" t="str">
        <f>VLOOKUP("陷阱沼澤怪", Data!$B:$D,H1, FALSE)</f>
        <v>沼泽诱捕兽</v>
      </c>
      <c r="E50" s="127" t="s">
        <v>96</v>
      </c>
      <c r="F50" s="128" t="str">
        <f>VLOOKUP("溺水沼地", Data!$B:$D,H1, FALSE)</f>
        <v>漫水古道</v>
      </c>
    </row>
    <row r="51" spans="1:6" ht="29">
      <c r="A51" s="129" t="str">
        <f>VLOOKUP("蠍甲蟲", Data!$B:$D,H1, FALSE)</f>
        <v>圣甲虫</v>
      </c>
      <c r="B51" s="127" t="s">
        <v>96</v>
      </c>
      <c r="C51" s="128" t="str">
        <f>VLOOKUP("寇佛斯入口", Data!$B:$D,H1, FALSE)
&amp;CHAR(10)&amp;VLOOKUP("寇佛斯遺跡", Data!$B:$D,H1, FALSE)</f>
        <v>往科乌斯之路
科乌斯废墟</v>
      </c>
      <c r="D51" s="126" t="str">
        <f>VLOOKUP("血魔吞噬者", Data!$B:$D,H1, FALSE)</f>
        <v>血魔吞食者</v>
      </c>
      <c r="E51" s="127" t="s">
        <v>96</v>
      </c>
      <c r="F51" s="128" t="str">
        <f>VLOOKUP("寇佛斯入口", Data!$B:$D,H1, FALSE)
&amp;CHAR(10)&amp;VLOOKUP("寇佛斯遺跡", Data!$B:$D,H1, FALSE)</f>
        <v>往科乌斯之路
科乌斯废墟</v>
      </c>
    </row>
    <row r="52" spans="1:6" ht="29">
      <c r="A52" s="129" t="str">
        <f>VLOOKUP("血魔薩滿", Data!$B:$D,H1, FALSE)</f>
        <v>血肉萨满</v>
      </c>
      <c r="B52" s="127" t="s">
        <v>96</v>
      </c>
      <c r="C52" s="128" t="str">
        <f>VLOOKUP("出土廢墟第一層", Data!$B:$D,H1, FALSE)
&amp;CHAR(10)&amp;VLOOKUP("寇佛斯入口", Data!$B:$D,H1, FALSE)</f>
        <v>出土废墟一层
往科乌斯之路</v>
      </c>
      <c r="D52" s="126" t="str">
        <f>VLOOKUP("飛翼兇魔", Data!$B:$D,H1, FALSE)</f>
        <v>飞翼刺杀者</v>
      </c>
      <c r="E52" s="127" t="s">
        <v>96</v>
      </c>
      <c r="F52" s="128" t="str">
        <f>VLOOKUP("混沌界要塞", Data!$B:$D,H1, FALSE)</f>
        <v>混沌要塞</v>
      </c>
    </row>
    <row r="53" spans="1:6">
      <c r="A53" s="129" t="str">
        <f>VLOOKUP("督天靈", Data!$B:$D,H1, FALSE)</f>
        <v>督天灵</v>
      </c>
      <c r="B53" s="127" t="s">
        <v>96</v>
      </c>
      <c r="C53" s="128" t="str">
        <f>VLOOKUP("混沌界要塞第一層", Data!$B:$D,H1, FALSE)</f>
        <v>混沌要塞一层</v>
      </c>
      <c r="D53" s="126" t="str">
        <f>VLOOKUP("處決者", Data!$B:$D,H1, FALSE)</f>
        <v>处决者</v>
      </c>
      <c r="E53" s="127" t="s">
        <v>96</v>
      </c>
      <c r="F53" s="128" t="str">
        <f>VLOOKUP("涅法雷姆秘境", Data!$B:$D,H1, FALSE)</f>
        <v>奈非天秘境</v>
      </c>
    </row>
    <row r="54" spans="1:6">
      <c r="A54" s="129" t="str">
        <f>VLOOKUP("叛天靈", Data!$B:$D,H1, FALSE)</f>
        <v>叛天灵</v>
      </c>
      <c r="B54" s="127" t="s">
        <v>96</v>
      </c>
      <c r="C54" s="128" t="str">
        <f>VLOOKUP("混沌界要塞第二層", Data!$B:$D,H1, FALSE)</f>
        <v>混沌要塞二层</v>
      </c>
      <c r="D54" s="126" t="str">
        <f>VLOOKUP("原生鎧岩獸", Data!$B:$D,H1, FALSE)</f>
        <v>原始食腐兽</v>
      </c>
      <c r="E54" s="127" t="s">
        <v>96</v>
      </c>
      <c r="F54" s="128" t="str">
        <f>VLOOKUP("永恆戰場", Data!$B:$D,H1, FALSE)</f>
        <v>永恒战场</v>
      </c>
    </row>
    <row r="55" spans="1:6">
      <c r="A55" s="129" t="str">
        <f>VLOOKUP("突衝獸", Data!$B:$D,H1, FALSE)</f>
        <v>扫荡冲锋兽</v>
      </c>
      <c r="B55" s="127" t="s">
        <v>96</v>
      </c>
      <c r="C55" s="128" t="str">
        <f>VLOOKUP("永恆戰場", Data!$B:$D,H1, FALSE)</f>
        <v>永恒战场</v>
      </c>
      <c r="D55" s="126" t="str">
        <f>VLOOKUP("擲渣小妖", Data!$B:$D,H1, FALSE)</f>
        <v>扫荡掷击兽</v>
      </c>
      <c r="E55" s="127" t="s">
        <v>96</v>
      </c>
      <c r="F55" s="128" t="str">
        <f>VLOOKUP("永恆戰場", Data!$B:$D,H1, FALSE)</f>
        <v>永恒战场</v>
      </c>
    </row>
    <row r="56" spans="1:6">
      <c r="A56" s="129" t="str">
        <f>VLOOKUP("馭屍者", Data!$B:$D,H1, FALSE)</f>
        <v>控尸者</v>
      </c>
      <c r="B56" s="127" t="s">
        <v>97</v>
      </c>
      <c r="C56" s="128" t="str">
        <f>VLOOKUP("布萊索恩墓園", Data!$B:$D,H1, FALSE)</f>
        <v>棘草墓园</v>
      </c>
      <c r="D56" s="126" t="str">
        <f>VLOOKUP("邪蝠", Data!$B:$D,H1, FALSE)</f>
        <v>邪蝠</v>
      </c>
      <c r="E56" s="127" t="s">
        <v>96</v>
      </c>
      <c r="F56" s="128" t="str">
        <f>VLOOKUP("布萊索恩墓園", Data!$B:$D,H1, FALSE)</f>
        <v>棘草墓园</v>
      </c>
    </row>
    <row r="57" spans="1:6">
      <c r="A57" s="129" t="str">
        <f>VLOOKUP("迅捷血肉擊打者", Data!$B:$D,H1, FALSE)</f>
        <v>迅捷的捣肉者</v>
      </c>
      <c r="B57" s="127" t="s">
        <v>96</v>
      </c>
      <c r="C57" s="128" t="str">
        <f>VLOOKUP("布萊索恩墓園", Data!$B:$D,H1, FALSE)</f>
        <v>棘草墓园</v>
      </c>
      <c r="D57" s="126" t="str">
        <f>VLOOKUP("死亡侍女", Data!$B:$D,H1, FALSE)</f>
        <v>死神侍女</v>
      </c>
      <c r="E57" s="127" t="s">
        <v>96</v>
      </c>
      <c r="F57" s="128" t="str">
        <f>VLOOKUP("衛斯馬屈城中區", Data!$B:$D,H1, FALSE)</f>
        <v>威斯特玛城中区</v>
      </c>
    </row>
    <row r="58" spans="1:6">
      <c r="A58" s="129" t="str">
        <f>VLOOKUP("亡魄士兵", Data!$B:$D,H1, FALSE)</f>
        <v>亡魂士兵</v>
      </c>
      <c r="B58" s="127" t="s">
        <v>96</v>
      </c>
      <c r="C58" s="128" t="str">
        <f>VLOOKUP("大教堂前庭", Data!$B:$D,H1, FALSE)</f>
        <v>大教堂前庭</v>
      </c>
      <c r="D58" s="126" t="str">
        <f>VLOOKUP("亡魄盾衛", Data!$B:$D,H1, FALSE)</f>
        <v>亡魂盾卫</v>
      </c>
      <c r="E58" s="127" t="s">
        <v>96</v>
      </c>
      <c r="F58" s="128" t="str">
        <f>VLOOKUP("衛斯馬屈城中區", Data!$B:$D,H1, FALSE)</f>
        <v>威斯特玛城中区</v>
      </c>
    </row>
    <row r="59" spans="1:6" ht="15.5" thickBot="1">
      <c r="A59" s="130" t="str">
        <f>VLOOKUP("亡魄弓箭手", Data!$B:$D,H1, FALSE)</f>
        <v>亡魂弓手</v>
      </c>
      <c r="B59" s="127" t="s">
        <v>96</v>
      </c>
      <c r="C59" s="132" t="str">
        <f>VLOOKUP("衛斯馬屈城中區", Data!$B:$D,H1, FALSE)</f>
        <v>威斯特玛城中区</v>
      </c>
      <c r="D59" s="133" t="str">
        <f>VLOOKUP("邪天靈", Data!$B:$D,H1, FALSE)</f>
        <v>邪天灵</v>
      </c>
      <c r="E59" s="134" t="s">
        <v>96</v>
      </c>
      <c r="F59" s="135" t="str">
        <f>VLOOKUP("衛斯馬屈山城區", Data!$B:$D,H1, FALSE)</f>
        <v>威斯特玛上城区</v>
      </c>
    </row>
    <row r="60" spans="1:6" ht="15.5" thickBot="1">
      <c r="A60" s="133" t="str">
        <f>VLOOKUP("兇犬", Data!$B:$D,H1, FALSE)</f>
        <v>凶犬</v>
      </c>
      <c r="B60" s="134" t="s">
        <v>96</v>
      </c>
      <c r="C60" s="135" t="str">
        <f>VLOOKUP("衛斯馬屈山城區", Data!$B:$D,H1, FALSE)</f>
        <v>威斯特玛上城区</v>
      </c>
    </row>
  </sheetData>
  <mergeCells count="2">
    <mergeCell ref="A2:F2"/>
    <mergeCell ref="A43:F43"/>
  </mergeCells>
  <phoneticPr fontId="7" type="noConversion"/>
  <dataValidations count="1">
    <dataValidation type="list" allowBlank="1" showInputMessage="1" showErrorMessage="1" sqref="G1" xr:uid="{00000000-0002-0000-0400-000000000000}">
      <formula1>"繁體中文,简体中文"</formula1>
    </dataValidation>
  </dataValidation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8"/>
  <sheetViews>
    <sheetView zoomScaleNormal="100" workbookViewId="0">
      <pane ySplit="1" topLeftCell="A2" activePane="bottomLeft" state="frozen"/>
      <selection pane="bottomLeft"/>
    </sheetView>
  </sheetViews>
  <sheetFormatPr defaultColWidth="8.9140625" defaultRowHeight="15"/>
  <cols>
    <col min="1" max="1" width="15.58203125" customWidth="1"/>
    <col min="2" max="2" width="5.58203125" customWidth="1"/>
    <col min="3" max="3" width="25.58203125" customWidth="1"/>
    <col min="4" max="4" width="15.58203125" customWidth="1"/>
    <col min="5" max="5" width="5.58203125" customWidth="1"/>
    <col min="6" max="6" width="25.58203125" customWidth="1"/>
    <col min="7" max="13" width="9" customWidth="1"/>
  </cols>
  <sheetData>
    <row r="1" spans="1:8" s="78" customFormat="1" ht="17" thickBot="1">
      <c r="A1" s="73" t="s">
        <v>2023</v>
      </c>
      <c r="B1" s="74" t="s">
        <v>2029</v>
      </c>
      <c r="C1" s="75"/>
      <c r="D1" s="75"/>
      <c r="E1" s="75"/>
      <c r="F1" s="76" t="s">
        <v>2021</v>
      </c>
      <c r="G1" s="573" t="s">
        <v>3676</v>
      </c>
      <c r="H1" s="319">
        <f>VLOOKUP(G1,Data!$A:$B,2, FALSE)</f>
        <v>2</v>
      </c>
    </row>
    <row r="2" spans="1:8" ht="23" thickBot="1">
      <c r="A2" s="722" t="str">
        <f>VLOOKUP("戰利品狩獵", Data!$B:$D,H1, FALSE)</f>
        <v>猎取战利品</v>
      </c>
      <c r="B2" s="723"/>
      <c r="C2" s="723"/>
      <c r="D2" s="723"/>
      <c r="E2" s="723"/>
      <c r="F2" s="724"/>
      <c r="G2" s="75" t="str">
        <f>"&lt;-配合"&amp;VLOOKUP("死敵護腕", Data!$B:$D,H1, FALSE)&amp;"可以快速完成"</f>
        <v>&lt;-配合复仇者护腕可以快速完成</v>
      </c>
      <c r="H2" s="75"/>
    </row>
    <row r="3" spans="1:8" ht="16.5">
      <c r="A3" s="75" t="s">
        <v>31</v>
      </c>
      <c r="B3" s="75"/>
      <c r="C3" s="75"/>
      <c r="D3" s="75"/>
      <c r="E3" s="75"/>
      <c r="F3" s="75"/>
      <c r="G3" s="75"/>
      <c r="H3" s="75"/>
    </row>
    <row r="4" spans="1:8" s="1" customFormat="1" ht="16.5">
      <c r="A4" s="474" t="s">
        <v>3950</v>
      </c>
      <c r="B4" s="474" t="s">
        <v>3951</v>
      </c>
      <c r="C4" s="475" t="s">
        <v>27</v>
      </c>
      <c r="D4" s="476" t="s">
        <v>3950</v>
      </c>
      <c r="E4" s="474" t="s">
        <v>3951</v>
      </c>
      <c r="F4" s="477" t="s">
        <v>3952</v>
      </c>
      <c r="G4" s="73"/>
      <c r="H4" s="73"/>
    </row>
    <row r="5" spans="1:8" ht="29">
      <c r="A5" s="113" t="str">
        <f>VLOOKUP("魔虜焚火師", Data!$B:$D,H1, FALSE)</f>
        <v>魔鲁焚化者</v>
      </c>
      <c r="B5" s="114" t="s">
        <v>73</v>
      </c>
      <c r="C5" s="155" t="str">
        <f>VLOOKUP("銀光尖塔第一層", Data!$B:$D,H1, FALSE)
&amp;CHAR(10)&amp;VLOOKUP("銀光尖塔第二層", Data!$B:$D,H1, FALSE)</f>
        <v>银色高塔一层
银色高塔二层</v>
      </c>
      <c r="D5" s="113" t="str">
        <f>VLOOKUP("魔虜軍團士兵", Data!$B:$D,H1, FALSE)</f>
        <v>魔鲁军团士兵</v>
      </c>
      <c r="E5" s="114" t="s">
        <v>73</v>
      </c>
      <c r="F5" s="155" t="str">
        <f>VLOOKUP("銀光尖塔第一層", Data!$B:$D,H1, FALSE)
&amp;CHAR(10)&amp;VLOOKUP("銀光尖塔第二層", Data!$B:$D,H1, FALSE)</f>
        <v>银色高塔一层
银色高塔二层</v>
      </c>
      <c r="G5" s="75"/>
      <c r="H5" s="75"/>
    </row>
    <row r="6" spans="1:8" ht="29">
      <c r="A6" s="113" t="str">
        <f>VLOOKUP("末日騎獸", Data!$B:$D,H1, FALSE)</f>
        <v>阿玛顿</v>
      </c>
      <c r="B6" s="114" t="s">
        <v>73</v>
      </c>
      <c r="C6" s="155" t="str">
        <f>VLOOKUP("希望園圃第二階-聖德會堂", Data!$B:$D,H1, FALSE)
&amp;CHAR(10)&amp;"(冒险模式下"&amp;VLOOKUP("聖德會堂", Data!$B:$D,H1, FALSE)&amp;"位于第三层)"</f>
        <v>希望花园二层-美德神堂
(冒险模式下美德神堂位于第三层)</v>
      </c>
      <c r="D6" s="113" t="str">
        <f>VLOOKUP("壓制者", Data!$B:$D,H1, FALSE)</f>
        <v>统御魔</v>
      </c>
      <c r="E6" s="114" t="s">
        <v>73</v>
      </c>
      <c r="F6" s="115" t="str">
        <f>VLOOKUP("希望園圃第一階", Data!$B:$D,H1, FALSE)</f>
        <v>希望花园一层</v>
      </c>
      <c r="G6" s="75"/>
      <c r="H6" s="75"/>
    </row>
    <row r="7" spans="1:8" ht="17" thickBot="1">
      <c r="A7" s="113" t="str">
        <f>VLOOKUP("巨拳領主", Data!$B:$D,H1, FALSE)</f>
        <v>捶地魔</v>
      </c>
      <c r="B7" s="114" t="s">
        <v>73</v>
      </c>
      <c r="C7" s="115" t="str">
        <f>VLOOKUP("銀光尖塔第一層", Data!$B:$D,H1, FALSE)</f>
        <v>银色高塔一层</v>
      </c>
      <c r="D7" s="121" t="str">
        <f>VLOOKUP("被奴役的夢魘", Data!$B:$D,H1, FALSE)</f>
        <v>奴役梦魇</v>
      </c>
      <c r="E7" s="119" t="s">
        <v>73</v>
      </c>
      <c r="F7" s="156" t="str">
        <f>VLOOKUP("銀光尖塔第二層", Data!$B:$D,H1, FALSE)</f>
        <v>银色高塔二层</v>
      </c>
      <c r="G7" s="75"/>
      <c r="H7" s="75"/>
    </row>
    <row r="8" spans="1:8" ht="29.5" thickBot="1">
      <c r="A8" s="157" t="str">
        <f>VLOOKUP("暗空火妖蝠", Data!$B:$D,H1, FALSE)</f>
        <v>黑天火魔</v>
      </c>
      <c r="B8" s="119" t="s">
        <v>73</v>
      </c>
      <c r="C8" s="120" t="str">
        <f>VLOOKUP("希望園圃第二階", Data!$B:$D,H1, FALSE)
&amp;CHAR(10)&amp;VLOOKUP("希望園圃第三階（冒险模式）", Data!$B:$D,H1, FALSE)</f>
        <v>希望花园二层
希望花园三层（冒险模式）</v>
      </c>
      <c r="D8" s="213" t="str">
        <f>VLOOKUP("苟爾勾巨魔", Data!$B:$D,H1, FALSE)</f>
        <v>戈尔格巨魔</v>
      </c>
      <c r="E8" s="214" t="s">
        <v>74</v>
      </c>
      <c r="F8" s="240" t="str">
        <f>VLOOKUP("石壘", Data!$B:$D,H1, FALSE)</f>
        <v>坚石壁垒</v>
      </c>
      <c r="G8" s="75"/>
      <c r="H8" s="75"/>
    </row>
    <row r="9" spans="1:8" ht="58">
      <c r="A9" s="238" t="str">
        <f>VLOOKUP("魅魔", Data!$B:$D,H1, FALSE)</f>
        <v>魅魔</v>
      </c>
      <c r="B9" s="214" t="s">
        <v>74</v>
      </c>
      <c r="C9" s="215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D9" s="216" t="str">
        <f>VLOOKUP("撕魂獸", Data!$B:$D,H1, FALSE)</f>
        <v>灵魂撕裂者</v>
      </c>
      <c r="E9" s="217" t="s">
        <v>74</v>
      </c>
      <c r="F9" s="218" t="str">
        <f>VLOOKUP("要塞下層第一層", Data!$B:$D,H1, FALSE)
&amp;CHAR(10)&amp;VLOOKUP("要塞下層第二層", Data!$B:$D,H1, FALSE)</f>
        <v>要塞深渊一层
要塞深渊二层</v>
      </c>
      <c r="G9" s="75"/>
      <c r="H9" s="75"/>
    </row>
    <row r="10" spans="1:8" ht="16.5">
      <c r="A10" s="216" t="str">
        <f>VLOOKUP("顱骸砍劈者", Data!$B:$D,H1, FALSE)</f>
        <v>劈颅手</v>
      </c>
      <c r="B10" s="217" t="s">
        <v>74</v>
      </c>
      <c r="C10" s="219" t="str">
        <f>VLOOKUP("戰場-戰場儲備所", Data!$B:$D,H1, FALSE)</f>
        <v>战场-战备物资储藏室</v>
      </c>
      <c r="D10" s="216" t="str">
        <f>VLOOKUP("顱骸劍士", Data!$B:$D,H1, FALSE)</f>
        <v>白骨剑士</v>
      </c>
      <c r="E10" s="217" t="s">
        <v>74</v>
      </c>
      <c r="F10" s="219" t="str">
        <f>VLOOKUP("戰場-戰場儲備所", Data!$B:$D,H1, FALSE)</f>
        <v>战场-战备物资储藏室</v>
      </c>
      <c r="G10" s="75"/>
      <c r="H10" s="75"/>
    </row>
    <row r="11" spans="1:8" ht="58">
      <c r="A11" s="216" t="str">
        <f>VLOOKUP("骷髏掠奪者", Data!$B:$D,H1, FALSE)</f>
        <v>骷髅掠夺者</v>
      </c>
      <c r="B11" s="217" t="s">
        <v>74</v>
      </c>
      <c r="C11" s="219" t="str">
        <f>VLOOKUP("戰場-戰場儲備所", Data!$B:$D,H1, FALSE)</f>
        <v>战场-战备物资储藏室</v>
      </c>
      <c r="D11" s="216" t="str">
        <f>VLOOKUP("冥河毒蠍", Data!$B:$D,H1, FALSE)</f>
        <v>地狱爬行者</v>
      </c>
      <c r="E11" s="217" t="s">
        <v>74</v>
      </c>
      <c r="F11" s="218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G11" s="75"/>
      <c r="H11" s="75"/>
    </row>
    <row r="12" spans="1:8" ht="43.5">
      <c r="A12" s="216" t="str">
        <f>VLOOKUP("冬禍女獵手", Data!$B:$D,H1, FALSE)</f>
        <v>霜鬓女猎手</v>
      </c>
      <c r="B12" s="217" t="s">
        <v>74</v>
      </c>
      <c r="C12" s="219" t="str">
        <f>VLOOKUP("殺戮戰場-寒霜洞窟", Data!$B:$D,H1, FALSE)</f>
        <v>血腥战场-寒冰洞</v>
      </c>
      <c r="D12" s="216" t="str">
        <f>VLOOKUP("血族玄術師", Data!$B:$D,H1, FALSE)</f>
        <v>鲜血氏族秘术师</v>
      </c>
      <c r="E12" s="217" t="s">
        <v>74</v>
      </c>
      <c r="F12" s="218" t="str">
        <f>VLOOKUP("亞瑞特巨坑第二層", Data!$B:$D,H1, FALSE)
&amp;CHAR(10)&amp;VLOOKUP("詛咒之塔第一層", Data!$B:$D,H1, FALSE)
&amp;CHAR(10)&amp;VLOOKUP("詛咒之塔第二層", Data!$B:$D,H1, FALSE)</f>
        <v>亚瑞特巨坑二层
诅咒者之塔一层
诅咒者之塔二层</v>
      </c>
      <c r="G12" s="75"/>
      <c r="H12" s="75"/>
    </row>
    <row r="13" spans="1:8" ht="72.5">
      <c r="A13" s="216" t="str">
        <f>VLOOKUP("血族戰士", Data!$B:$D,H1, FALSE)</f>
        <v>鲜血氏族战士</v>
      </c>
      <c r="B13" s="217" t="s">
        <v>74</v>
      </c>
      <c r="C13" s="218" t="str">
        <f>VLOOKUP("戰場", Data!$B:$D,H1, FALSE)
&amp;CHAR(10)&amp;VLOOKUP("科斯克橋", Data!$B:$D,H1, FALSE)
&amp;CHAR(10)&amp;VLOOKUP("殺戮戰場", Data!$B:$D,H1, FALSE)
&amp;CHAR(10)&amp;VLOOKUP("拉基斯路口", Data!$B:$D,H1, FALSE)
&amp;CHAR(10)&amp;VLOOKUP("拉基斯路口-橋底地窖", Data!$B:$D,H1, FALSE)</f>
        <v>战场
科尔斯克之桥
血腥战场
拉基斯之渡
拉基斯之渡-桥底</v>
      </c>
      <c r="D13" s="216" t="str">
        <f>VLOOKUP("沉淪魔先知", Data!$B:$D,H1, FALSE)</f>
        <v>堕落预言师</v>
      </c>
      <c r="E13" s="217" t="s">
        <v>74</v>
      </c>
      <c r="F13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G13" s="75"/>
      <c r="H13" s="75"/>
    </row>
    <row r="14" spans="1:8" ht="72.5">
      <c r="A14" s="216" t="str">
        <f>VLOOKUP("沉淪魔地獄犬", Data!$B:$D,H1, FALSE)</f>
        <v>堕落地狱犬</v>
      </c>
      <c r="B14" s="217" t="s">
        <v>74</v>
      </c>
      <c r="C14" s="218" t="str">
        <f>VLOOKUP("拉基斯路口", Data!$B:$D,H1, FALSE)
&amp;CHAR(10)&amp;VLOOKUP("拉基斯路口-大橋儲藏間", Data!$B:$D,H1, FALSE)
&amp;CHAR(10)&amp;VLOOKUP("譴罪之塔第一層", Data!$B:$D,H1, FALSE)</f>
        <v>拉基斯之渡
拉基斯之渡-大桥储藏室
天谴者之塔一层</v>
      </c>
      <c r="D14" s="216" t="str">
        <f>VLOOKUP("沉淪魔士兵", Data!$B:$D,H1, FALSE)</f>
        <v>堕落士兵</v>
      </c>
      <c r="E14" s="217" t="s">
        <v>74</v>
      </c>
      <c r="F14" s="218" t="str">
        <f>VLOOKUP("拉基斯路口", Data!$B:$D,H1, FALSE)
&amp;CHAR(10)&amp;VLOOKUP("拉基斯路口-大橋儲藏間", Data!$B:$D,H1, FALSE)
&amp;CHAR(10)&amp;VLOOKUP("深淵之緣", Data!$B:$D,H1, FALSE)
&amp;CHAR(10)&amp;VLOOKUP("亞瑞特巨坑第一層", Data!$B:$D,H1, FALSE)
&amp;CHAR(10)&amp;VLOOKUP("譴罪之塔第一層", Data!$B:$D,H1, FALSE)</f>
        <v>拉基斯之渡
拉基斯之渡-大桥储藏室
深渊的尽头
亚瑞特巨坑一层
天谴者之塔一层</v>
      </c>
      <c r="G14" s="75"/>
      <c r="H14" s="75"/>
    </row>
    <row r="15" spans="1:8" ht="58">
      <c r="A15" s="216" t="str">
        <f>VLOOKUP("沉淪魔蠻兵", Data!$B:$D,H1, FALSE)</f>
        <v>堕落蛮兵</v>
      </c>
      <c r="B15" s="217" t="s">
        <v>74</v>
      </c>
      <c r="C15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D15" s="216" t="str">
        <f>VLOOKUP("沉淪魔奴隸主", Data!$B:$D,H1, FALSE)</f>
        <v>堕落奴隶主</v>
      </c>
      <c r="E15" s="217" t="s">
        <v>74</v>
      </c>
      <c r="F15" s="218" t="str">
        <f>VLOOKUP("拉基斯路口", Data!$B:$D,H1, FALSE)
&amp;CHAR(10)&amp;VLOOKUP("拉基斯路口-大橋儲藏間", Data!$B:$D,H1, FALSE)
&amp;CHAR(10)&amp;VLOOKUP("譴罪之塔第一層", Data!$B:$D,H1, FALSE)</f>
        <v>拉基斯之渡
拉基斯之渡-大桥储藏室
天谴者之塔一层</v>
      </c>
      <c r="G15" s="75"/>
      <c r="H15" s="75"/>
    </row>
    <row r="16" spans="1:8" ht="44" thickBot="1">
      <c r="A16" s="216" t="str">
        <f>VLOOKUP("惡魔突擊兵", Data!$B:$D,H1, FALSE)</f>
        <v>恶魔士兵</v>
      </c>
      <c r="B16" s="217" t="s">
        <v>74</v>
      </c>
      <c r="C16" s="218" t="str">
        <f>VLOOKUP("天冠城垛", Data!$B:$D,H1, FALSE)
&amp;CHAR(10)&amp;VLOOKUP("石壘", Data!$B:$D,H1, FALSE)
&amp;CHAR(10)&amp;VLOOKUP("要塞下層第一層", Data!$B:$D,H1, FALSE)</f>
        <v>天冠城垛
坚石壁垒
要塞深渊一层</v>
      </c>
      <c r="D16" s="241" t="str">
        <f>VLOOKUP("魔翼妖蝠", Data!$B:$D,H1, FALSE)</f>
        <v>地狱天鬼</v>
      </c>
      <c r="E16" s="242" t="s">
        <v>74</v>
      </c>
      <c r="F16" s="243" t="str">
        <f>VLOOKUP("天冠城垛", Data!$B:$D,H1, FALSE)
&amp;CHAR(10)&amp;VLOOKUP("石壘", Data!$B:$D,H1, FALSE)
&amp;CHAR(10)&amp;VLOOKUP("亞瑞特之門-兵營第一層", Data!$B:$D,H1, FALSE)</f>
        <v>天冠城垛
坚石壁垒
亚瑞特大门-营房一层</v>
      </c>
      <c r="G16" s="75"/>
      <c r="H16" s="75"/>
    </row>
    <row r="17" spans="1:8" ht="44" thickBot="1">
      <c r="A17" s="216" t="str">
        <f>VLOOKUP("瘟疫使者", Data!$B:$D,H1, FALSE)</f>
        <v>疫病传染体</v>
      </c>
      <c r="B17" s="217" t="s">
        <v>74</v>
      </c>
      <c r="C17" s="218" t="str">
        <f>VLOOKUP("戰場", Data!$B:$D,H1, FALSE)
&amp;CHAR(10)&amp;VLOOKUP("殺戮戰場", Data!$B:$D,H1, FALSE)
&amp;CHAR(10)&amp;VLOOKUP("亞瑞特巨坑第一層", Data!$B:$D,H1, FALSE)</f>
        <v>战场
血腥战场
亚瑞特巨坑一层</v>
      </c>
      <c r="D17" s="151" t="str">
        <f>VLOOKUP("裝甲破壞魔", Data!$B:$D,H1, FALSE)</f>
        <v>铁甲摧毁者</v>
      </c>
      <c r="E17" s="106" t="s">
        <v>73</v>
      </c>
      <c r="F17" s="107" t="str">
        <f>VLOOKUP("希望園圃第一階", Data!$B:$D,H1, FALSE)</f>
        <v>希望花园一层</v>
      </c>
      <c r="G17" s="75"/>
      <c r="H17" s="75"/>
    </row>
    <row r="18" spans="1:8" ht="58.5" thickBot="1">
      <c r="A18" s="237" t="str">
        <f>VLOOKUP("震地魔", Data!$B:$D,H1, FALSE)</f>
        <v>恶魔震地者</v>
      </c>
      <c r="B18" s="221" t="s">
        <v>75</v>
      </c>
      <c r="C18" s="222" t="str">
        <f>VLOOKUP("要塞下層第二層", Data!$B:$D,H1, FALSE)
&amp;CHAR(10)&amp;VLOOKUP("要塞下層第三層", Data!$B:$D,H1, FALSE)
&amp;CHAR(10)&amp;VLOOKUP("戰場", Data!$B:$D,H1, FALSE)
&amp;CHAR(10)&amp;VLOOKUP("殺戮戰場", Data!$B:$D,H1, FALSE)</f>
        <v>要塞深渊二层
要塞深渊三层
战场
血腥战场</v>
      </c>
      <c r="D18" s="244" t="str">
        <f>VLOOKUP("兇暴移行獸", Data!$B:$D,H1, FALSE)</f>
        <v>巨型移形兽</v>
      </c>
      <c r="E18" s="245" t="s">
        <v>74</v>
      </c>
      <c r="F18" s="246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G18" s="75"/>
      <c r="H18" s="75"/>
    </row>
    <row r="19" spans="1:8" ht="43.5">
      <c r="A19" s="93" t="str">
        <f>VLOOKUP("狂暴魔狼", Data!$B:$D,H1, FALSE)</f>
        <v>狂乱地狱犬</v>
      </c>
      <c r="B19" s="91" t="s">
        <v>76</v>
      </c>
      <c r="C19" s="92" t="str">
        <f>VLOOKUP("奧卡納斯", Data!$B:$D,H1, FALSE)</f>
        <v>阿尔卡纳斯</v>
      </c>
      <c r="D19" s="93" t="str">
        <f>VLOOKUP("幼生蛛群", Data!$B:$D,H1, FALSE)</f>
        <v>巢蛛</v>
      </c>
      <c r="E19" s="91" t="s">
        <v>76</v>
      </c>
      <c r="F19" s="94" t="str">
        <f>VLOOKUP("淒涼沙地-背叛者洞穴", Data!$B:$D,H1, FALSE)
&amp;CHAR(10)&amp;VLOOKUP("淒涼沙地-兇邪的洞穴", Data!$B:$D,H1, FALSE)
&amp;CHAR(10)&amp;VLOOKUP("佐敦庫勒秘庫-風暴長廊", Data!$B:$D,H1, FALSE)</f>
        <v>凄凉沙漠-背叛者洞穴
凄凉沙漠-邪恶洞窟
佐敦·库勒藏书馆-风暴殿堂</v>
      </c>
      <c r="G19" s="75"/>
      <c r="H19" s="75"/>
    </row>
    <row r="20" spans="1:8" ht="43.5">
      <c r="A20" s="98" t="str">
        <f>VLOOKUP("吐網蜘蛛", Data!$B:$D,H1, FALSE)</f>
        <v>喷网蜘蛛</v>
      </c>
      <c r="B20" s="96" t="s">
        <v>76</v>
      </c>
      <c r="C20" s="97" t="str">
        <f>VLOOKUP("淒涼沙地-背叛者洞穴", Data!$B:$D,H1, FALSE)
&amp;CHAR(10)&amp;VLOOKUP("淒涼沙地-兇邪的洞穴", Data!$B:$D,H1, FALSE)</f>
        <v>凄凉沙漠-背叛者洞穴
凄凉沙漠-邪恶洞窟</v>
      </c>
      <c r="D20" s="98" t="str">
        <f>VLOOKUP("盤蛇法師", Data!$B:$D,H1, FALSE)</f>
        <v>蛇身法师</v>
      </c>
      <c r="E20" s="96" t="s">
        <v>76</v>
      </c>
      <c r="F20" s="97" t="str">
        <f>VLOOKUP("刺風沙漠-廢墟", Data!$B:$D,H1, FALSE)
&amp;CHAR(10)&amp;VLOOKUP("卡爾蒂姆下水道", Data!$B:$D,H1, FALSE)
&amp;CHAR(10)&amp;VLOOKUP("達厄古綠洲", Data!$B:$D,H1, FALSE)</f>
        <v>烈风之地-废墟
卡尔蒂姆下水道
达尔格绿洲</v>
      </c>
      <c r="G20" s="75"/>
      <c r="H20" s="75"/>
    </row>
    <row r="21" spans="1:8" ht="72.5">
      <c r="A21" s="98" t="str">
        <f>VLOOKUP("劇毒守護者", Data!$B:$D,H1, FALSE)</f>
        <v>剧毒卫士</v>
      </c>
      <c r="B21" s="96" t="s">
        <v>78</v>
      </c>
      <c r="C21" s="97" t="str">
        <f>VLOOKUP("刺風沙漠-失落塑像之室", Data!$B:$D,H1, FALSE)
&amp;CHAR(10)&amp;VLOOKUP("卡爾蒂姆下水道", Data!$B:$D,H1, FALSE)
&amp;CHAR(10)&amp;VLOOKUP("卡爾蒂姆市集-廢棄水道", Data!$B:$D,H1, FALSE)
&amp;CHAR(10)&amp;VLOOKUP("西側水道", Data!$B:$D,H1, FALSE)
&amp;CHAR(10)&amp;VLOOKUP("東側水道", Data!$B:$D,H1, FALSE)</f>
        <v>烈风之地-失落人偶的密厅
卡尔蒂姆下水道
卡尔蒂姆集市-被淹没的堤道
西部水渠
东部水渠</v>
      </c>
      <c r="D21" s="98" t="str">
        <f>VLOOKUP("電能傀儡", Data!$B:$D,H1, FALSE)</f>
        <v>电荷构造体</v>
      </c>
      <c r="E21" s="96" t="s">
        <v>78</v>
      </c>
      <c r="F21" s="97" t="str">
        <f>VLOOKUP("佐敦庫勒秘庫-風暴長廊", Data!$B:$D,H1, FALSE)</f>
        <v>佐敦·库勒藏书馆-风暴殿堂</v>
      </c>
      <c r="G21" s="75"/>
      <c r="H21" s="75"/>
    </row>
    <row r="22" spans="1:8" ht="29">
      <c r="A22" s="98" t="str">
        <f>VLOOKUP("悶燃傀儡", Data!$B:$D,H1, FALSE)</f>
        <v>熔火构造体</v>
      </c>
      <c r="B22" s="96" t="s">
        <v>79</v>
      </c>
      <c r="C22" s="99" t="str">
        <f>VLOOKUP("佐敦庫勒秘庫-未知深境", Data!$B:$D,H1, FALSE)</f>
        <v>佐敦·库勒藏书馆-无底深渊</v>
      </c>
      <c r="D22" s="98" t="str">
        <f>VLOOKUP("骷髏遊俠", Data!$B:$D,H1, FALSE)</f>
        <v>骷髅游侠</v>
      </c>
      <c r="E22" s="96" t="s">
        <v>79</v>
      </c>
      <c r="F22" s="97" t="str">
        <f>VLOOKUP("卡爾蒂姆下水道", Data!$B:$D,H1, FALSE)
&amp;CHAR(10)&amp;VLOOKUP("達厄古綠洲-神秘的洞穴", Data!$B:$D,H1, FALSE)</f>
        <v>卡尔蒂姆下水道
达尔格绿洲-神秘洞穴</v>
      </c>
      <c r="G22" s="75"/>
      <c r="H22" s="75"/>
    </row>
    <row r="23" spans="1:8" ht="29">
      <c r="A23" s="98" t="str">
        <f>VLOOKUP("骷髏劈脊者", Data!$B:$D,H1, FALSE)</f>
        <v>凿脊者</v>
      </c>
      <c r="B23" s="96" t="s">
        <v>79</v>
      </c>
      <c r="C23" s="99" t="str">
        <f>VLOOKUP("達厄古綠洲-遺忘廢墟", Data!$B:$D,H1, FALSE)</f>
        <v>达尔格绿洲-被遗忘的废墟</v>
      </c>
      <c r="D23" s="98" t="str">
        <f>VLOOKUP("骷髏戰士", Data!$B:$D,H1, FALSE)</f>
        <v>白骨战士</v>
      </c>
      <c r="E23" s="96" t="s">
        <v>79</v>
      </c>
      <c r="F23" s="97" t="str">
        <f>VLOOKUP("達厄古綠洲-遺忘廢墟", Data!$B:$D,H1, FALSE)
&amp;CHAR(10)&amp;VLOOKUP("淒涼沙地-刺客地庫", Data!$B:$D,H1, FALSE)</f>
        <v>达尔格绿洲-被遗忘的废墟
凄凉沙漠-刺客密室</v>
      </c>
      <c r="G23" s="75"/>
      <c r="H23" s="75"/>
    </row>
    <row r="24" spans="1:8" ht="29">
      <c r="A24" s="98" t="str">
        <f>VLOOKUP("骷髏掠劫者", Data!$B:$D,H1, FALSE)</f>
        <v>骷髅袭击者</v>
      </c>
      <c r="B24" s="96" t="s">
        <v>80</v>
      </c>
      <c r="C24" s="97" t="str">
        <f>VLOOKUP("佐敦庫勒秘庫-未知深境", Data!$B:$D,H1, FALSE)
&amp;CHAR(10)&amp;VLOOKUP("佐敦庫勒秘庫-風暴長廊", Data!$B:$D,H1, FALSE)</f>
        <v>佐敦·库勒藏书馆-无底深渊
佐敦·库勒藏书馆-风暴殿堂</v>
      </c>
      <c r="D24" s="98" t="str">
        <f>VLOOKUP("骷髏歩哨", Data!$B:$D,H1, FALSE)</f>
        <v>骷髅哨兵</v>
      </c>
      <c r="E24" s="96" t="s">
        <v>80</v>
      </c>
      <c r="F24" s="97" t="str">
        <f>VLOOKUP("卡爾蒂姆下水道", Data!$B:$D,H1, FALSE)
&amp;CHAR(10)&amp;VLOOKUP("達厄古綠洲-遺忘廢墟", Data!$B:$D,H1, FALSE)</f>
        <v>卡尔蒂姆下水道
达尔格绿洲-被遗忘的废墟</v>
      </c>
      <c r="G24" s="75"/>
      <c r="H24" s="75"/>
    </row>
    <row r="25" spans="1:8" ht="16.5">
      <c r="A25" s="98" t="str">
        <f>VLOOKUP("收割魔", Data!$B:$D,H1, FALSE)</f>
        <v>收割者</v>
      </c>
      <c r="B25" s="96" t="s">
        <v>78</v>
      </c>
      <c r="C25" s="99" t="str">
        <f>VLOOKUP("淒涼沙地-鑽岩蟲洞穴", Data!$B:$D,H1, FALSE)</f>
        <v>凄凉沙漠-掘地骇物的洞穴</v>
      </c>
      <c r="D25" s="98" t="str">
        <f>VLOOKUP("上古沙行怪", Data!$B:$D,H1, FALSE)</f>
        <v>远古行者</v>
      </c>
      <c r="E25" s="96" t="s">
        <v>78</v>
      </c>
      <c r="F25" s="99" t="str">
        <f>VLOOKUP("淒涼沙地", Data!$B:$D,H1, FALSE)</f>
        <v>凄凉沙漠</v>
      </c>
      <c r="G25" s="75"/>
      <c r="H25" s="75"/>
    </row>
    <row r="26" spans="1:8" ht="16.5">
      <c r="A26" s="98" t="str">
        <f>VLOOKUP("沙岩巨像", Data!$B:$D,H1, FALSE)</f>
        <v>沙漠巨兽</v>
      </c>
      <c r="B26" s="96" t="s">
        <v>78</v>
      </c>
      <c r="C26" s="99" t="str">
        <f>VLOOKUP("佐敦庫勒秘庫-暗影之境", Data!$B:$D,H1, FALSE)</f>
        <v>佐敦·库勒藏书馆-暗影领域</v>
      </c>
      <c r="D26" s="98" t="str">
        <f>VLOOKUP("沙塵魔嬰", Data!$B:$D,H1, FALSE)</f>
        <v>尘土顽魔</v>
      </c>
      <c r="E26" s="96" t="s">
        <v>81</v>
      </c>
      <c r="F26" s="99" t="str">
        <f>VLOOKUP("刺風沙漠-廢墟", Data!$B:$D,H1, FALSE)</f>
        <v>烈风之地-废墟</v>
      </c>
      <c r="G26" s="75"/>
      <c r="H26" s="75"/>
    </row>
    <row r="27" spans="1:8" ht="16.5">
      <c r="A27" s="95" t="str">
        <f>VLOOKUP("拉庫尼狂刀手", Data!$B:$D,H1, FALSE)</f>
        <v>豹人鞭笞者</v>
      </c>
      <c r="B27" s="96" t="s">
        <v>81</v>
      </c>
      <c r="C27" s="99" t="str">
        <f>VLOOKUP("淒涼沙地", Data!$B:$D,H1, FALSE)</f>
        <v>凄凉沙漠</v>
      </c>
      <c r="D27" s="98" t="str">
        <f>VLOOKUP("拉庫尼女獵手", Data!$B:$D,H1, FALSE)</f>
        <v>豹人女猎手</v>
      </c>
      <c r="E27" s="96" t="s">
        <v>79</v>
      </c>
      <c r="F27" s="99" t="str">
        <f>VLOOKUP("嚎泣高原", Data!$B:$D,H1, FALSE)</f>
        <v>凄风苔原</v>
      </c>
      <c r="G27" s="75"/>
      <c r="H27" s="75"/>
    </row>
    <row r="28" spans="1:8" ht="58">
      <c r="A28" s="95" t="str">
        <f>VLOOKUP("兇狠的食屍鬼", Data!$B:$D,H1, FALSE)</f>
        <v>恶毒的食尸鬼</v>
      </c>
      <c r="B28" s="96" t="s">
        <v>79</v>
      </c>
      <c r="C28" s="99" t="str">
        <f>VLOOKUP("嚎泣高原-熱風洞窟", Data!$B:$D,H1, FALSE)</f>
        <v>凄风苔原-热风洞窟</v>
      </c>
      <c r="D28" s="98" t="str">
        <f>VLOOKUP("殺狂魔", Data!$B:$D,H1, FALSE)</f>
        <v>凶魔</v>
      </c>
      <c r="E28" s="96" t="s">
        <v>79</v>
      </c>
      <c r="F28" s="97" t="str">
        <f>VLOOKUP("東側水道", Data!$B:$D,H1, FALSE)
&amp;CHAR(10)&amp;VLOOKUP("淒涼沙地-背叛者洞穴", Data!$B:$D,H1, FALSE)
&amp;CHAR(10)&amp;VLOOKUP("淒涼沙地-兇邪的洞穴", Data!$B:$D,H1, FALSE)
&amp;CHAR(10)&amp;VLOOKUP("淒涼沙地-鑽岩蟲洞穴", Data!$B:$D,H1, FALSE)</f>
        <v>东部水渠
凄凉沙漠-背叛者洞穴
凄凉沙漠-邪恶洞窟
凄凉沙漠-掘地骇物的洞穴</v>
      </c>
      <c r="G28" s="75"/>
      <c r="H28" s="75"/>
    </row>
    <row r="29" spans="1:8" ht="29">
      <c r="A29" s="95" t="str">
        <f>VLOOKUP("洞窟飛蝠", Data!$B:$D,H1, FALSE)</f>
        <v>岩洞蝙蝠</v>
      </c>
      <c r="B29" s="96" t="s">
        <v>79</v>
      </c>
      <c r="C29" s="99" t="str">
        <f>VLOOKUP("嚎泣高原-熱風洞窟", Data!$B:$D,H1, FALSE)</f>
        <v>凄风苔原-热风洞窟</v>
      </c>
      <c r="D29" s="98" t="str">
        <f>VLOOKUP("咒虐者", Data!$B:$D,H1, FALSE)</f>
        <v>被诅咒者</v>
      </c>
      <c r="E29" s="96" t="s">
        <v>79</v>
      </c>
      <c r="F29" s="97" t="str">
        <f>VLOOKUP("淒涼沙地", Data!$B:$D,H1, FALSE)
&amp;CHAR(10)&amp;VLOOKUP("東側水道", Data!$B:$D,H1, FALSE)</f>
        <v>凄凉沙漠
东部水渠</v>
      </c>
      <c r="G29" s="75"/>
      <c r="H29" s="75"/>
    </row>
    <row r="30" spans="1:8" ht="29">
      <c r="A30" s="95" t="str">
        <f>VLOOKUP("叛屍", Data!$B:$D,H1, FALSE)</f>
        <v>背叛者</v>
      </c>
      <c r="B30" s="96" t="s">
        <v>79</v>
      </c>
      <c r="C30" s="97" t="str">
        <f>VLOOKUP("達厄古綠洲-沙爾達陵墓", Data!$B:$D,H1, FALSE)
&amp;CHAR(10)&amp;VLOOKUP("達厄古綠洲-達卡布可汗的陵墓", Data!$B:$D,H1, FALSE)</f>
        <v>达尔格绿洲-萨达尔的墓穴
达尔格绿洲-坎·达卡布的陵墓</v>
      </c>
      <c r="D30" s="98" t="str">
        <f>VLOOKUP("沉淪喚魔師", Data!$B:$D,H1, FALSE)</f>
        <v>堕落巫师</v>
      </c>
      <c r="E30" s="96" t="s">
        <v>79</v>
      </c>
      <c r="F30" s="99" t="str">
        <f>VLOOKUP("達厄古綠洲", Data!$B:$D,H1, FALSE)</f>
        <v>达尔格绿洲</v>
      </c>
      <c r="G30" s="75"/>
      <c r="H30" s="75"/>
    </row>
    <row r="31" spans="1:8" ht="16.5">
      <c r="A31" s="95" t="str">
        <f>VLOOKUP("沉淪魔兇犬", Data!$B:$D,H1, FALSE)</f>
        <v>堕落犬</v>
      </c>
      <c r="B31" s="96" t="s">
        <v>79</v>
      </c>
      <c r="C31" s="99" t="str">
        <f>VLOOKUP("佐敦庫勒秘庫-風暴長廊", Data!$B:$D,H1, FALSE)</f>
        <v>佐敦·库勒藏书馆-风暴殿堂</v>
      </c>
      <c r="D31" s="98" t="str">
        <f>VLOOKUP("沉淪魔苦力", Data!$B:$D,H1, FALSE)</f>
        <v>堕落苦工</v>
      </c>
      <c r="E31" s="96" t="s">
        <v>79</v>
      </c>
      <c r="F31" s="99" t="str">
        <f>VLOOKUP("達厄古綠洲", Data!$B:$D,H1, FALSE)</f>
        <v>达尔格绿洲</v>
      </c>
      <c r="G31" s="75"/>
      <c r="H31" s="75"/>
    </row>
    <row r="32" spans="1:8" ht="44" thickBot="1">
      <c r="A32" s="95" t="str">
        <f>VLOOKUP("沉淪魔", Data!$B:$D,H1, FALSE)</f>
        <v>堕落者</v>
      </c>
      <c r="B32" s="96" t="s">
        <v>79</v>
      </c>
      <c r="C32" s="97" t="str">
        <f>VLOOKUP("嚎泣高原", Data!$B:$D,H1, FALSE)
&amp;CHAR(10)&amp;VLOOKUP("黑谷礦坑", Data!$B:$D,H1, FALSE)
&amp;CHAR(10)&amp;VLOOKUP("刺風沙漠", Data!$B:$D,H1, FALSE)</f>
        <v>凄风苔原
崖山矿场
烈风之地</v>
      </c>
      <c r="D32" s="150" t="str">
        <f>VLOOKUP("沉淪魔督軍", Data!$B:$D,H1, FALSE)</f>
        <v>堕落监工</v>
      </c>
      <c r="E32" s="101" t="s">
        <v>79</v>
      </c>
      <c r="F32" s="102" t="str">
        <f>VLOOKUP("嚎泣高原", Data!$B:$D,H1, FALSE)
&amp;CHAR(10)&amp;VLOOKUP("黑谷礦坑", Data!$B:$D,H1, FALSE)
&amp;CHAR(10)&amp;VLOOKUP("刺風沙漠", Data!$B:$D,H1, FALSE)</f>
        <v>凄风苔原
崖山矿场
烈风之地</v>
      </c>
      <c r="G32" s="75"/>
      <c r="H32" s="75"/>
    </row>
    <row r="33" spans="1:8" ht="44" thickBot="1">
      <c r="A33" s="100" t="str">
        <f>VLOOKUP("沙丘刃妖", Data!$B:$D,H1, FALSE)</f>
        <v>沙丘魔煞</v>
      </c>
      <c r="B33" s="101" t="s">
        <v>79</v>
      </c>
      <c r="C33" s="104" t="str">
        <f>VLOOKUP("達厄古綠洲", Data!$B:$D,H1, FALSE)</f>
        <v>达尔格绿洲</v>
      </c>
      <c r="D33" s="159" t="str">
        <f>VLOOKUP("飢餓的死者", Data!$B:$D,H1, FALSE)</f>
        <v>恶馋亡灵</v>
      </c>
      <c r="E33" s="160" t="s">
        <v>82</v>
      </c>
      <c r="F33" s="161" t="str">
        <f>VLOOKUP("大教堂第一層", Data!$B:$D,H1, FALSE)
&amp;CHAR(10)&amp;VLOOKUP("悲泣荒原", Data!$B:$D,H1, FALSE)
&amp;CHAR(10)&amp;VLOOKUP("荒棄墓園-被褻瀆的墓穴", Data!$B:$D,H1, FALSE)</f>
        <v>大教堂一层
哭泣山谷
荒废的墓地-污秽的墓穴</v>
      </c>
      <c r="G33" s="75"/>
      <c r="H33" s="75"/>
    </row>
    <row r="34" spans="1:8" ht="29">
      <c r="A34" s="162" t="str">
        <f>VLOOKUP("嘔吐女屍", Data!$B:$D,H1, FALSE)</f>
        <v>呕吐的女尸</v>
      </c>
      <c r="B34" s="160" t="s">
        <v>82</v>
      </c>
      <c r="C34" s="161" t="str">
        <f>VLOOKUP("悲泣荒原", Data!$B:$D,H1, FALSE)
&amp;CHAR(10)&amp;VLOOKUP("荒棄墓園-被褻瀆的墓穴", Data!$B:$D,H1, FALSE)</f>
        <v>哭泣山谷
荒废的墓地-污秽的墓穴</v>
      </c>
      <c r="D34" s="85" t="str">
        <f>VLOOKUP("飢餓的殭屍", Data!$B:$D,H1, FALSE)</f>
        <v>饥饿的行尸</v>
      </c>
      <c r="E34" s="81" t="s">
        <v>82</v>
      </c>
      <c r="F34" s="82" t="str">
        <f>VLOOKUP("悲泣荒原", Data!$B:$D,H1, FALSE)
&amp;CHAR(10)&amp;VLOOKUP("荒棄墓園-被褻瀆的墓穴", Data!$B:$D,H1, FALSE)</f>
        <v>哭泣山谷
荒废的墓地-污秽的墓穴</v>
      </c>
      <c r="G34" s="75"/>
      <c r="H34" s="75"/>
    </row>
    <row r="35" spans="1:8" ht="29">
      <c r="A35" s="80" t="str">
        <f>VLOOKUP("掘墓屍魔", Data!$B:$D,H1, FALSE)</f>
        <v>无殓巨尸</v>
      </c>
      <c r="B35" s="81" t="s">
        <v>82</v>
      </c>
      <c r="C35" s="84" t="str">
        <f>VLOOKUP("苦痛刑牢", Data!$B:$D,H1, FALSE)</f>
        <v>苦痛大厅</v>
      </c>
      <c r="D35" s="85" t="str">
        <f>VLOOKUP("穢邪奴僕", Data!$B:$D,H1, FALSE)</f>
        <v>不洁的奴役体</v>
      </c>
      <c r="E35" s="81" t="s">
        <v>82</v>
      </c>
      <c r="F35" s="82" t="str">
        <f>VLOOKUP("李奧瑞克狩獵場-高地洞穴", Data!$B:$D,H1, FALSE)
&amp;CHAR(10)&amp;VLOOKUP("苦痛刑牢", Data!$B:$D,H1, FALSE)</f>
        <v>李奧瑞克的狩猎场-高地洞穴
苦痛大厅</v>
      </c>
      <c r="G35" s="75"/>
      <c r="H35" s="75"/>
    </row>
    <row r="36" spans="1:8" ht="72.5">
      <c r="A36" s="80" t="str">
        <f>VLOOKUP("黑暗教徒", Data!$B:$D,H1, FALSE)</f>
        <v>黑暗邪教徒</v>
      </c>
      <c r="B36" s="81" t="s">
        <v>82</v>
      </c>
      <c r="C36" s="82" t="str">
        <f>VLOOKUP("南部高地-瞭望塔/書院", Data!$B:$D,H1, FALSE)
&amp;CHAR(10)&amp;VLOOKUP("李奧瑞克狩獵場", Data!$B:$D,H1, FALSE)
&amp;CHAR(10)&amp;VLOOKUP("李奧瑞克狩獵場-高地洞穴", Data!$B:$D,H1, FALSE)
&amp;CHAR(10)&amp;VLOOKUP("李奧瑞克宅邸前庭", Data!$B:$D,H1, FALSE)
&amp;CHAR(10)&amp;VLOOKUP("苦痛刑牢", Data!$B:$D,H1, FALSE)</f>
        <v>南方高地-高地哨塔/传教所
李奧瑞克的狩猎场
李奧瑞克的狩猎场-高地洞穴
李奧瑞克庄园庭院
苦痛大厅</v>
      </c>
      <c r="D36" s="85" t="str">
        <f>VLOOKUP("黑暗狂暴者", Data!$B:$D,H1, FALSE)</f>
        <v>黑暗狂暴者</v>
      </c>
      <c r="E36" s="81" t="s">
        <v>83</v>
      </c>
      <c r="F36" s="82" t="str">
        <f>VLOOKUP("李奧瑞克狩獵場-高地洞穴", Data!$B:$D,H1, FALSE)
&amp;CHAR(10)&amp;VLOOKUP("苦痛刑牢", Data!$B:$D,H1, FALSE)</f>
        <v>李奧瑞克的狩猎场-高地洞穴
苦痛大厅</v>
      </c>
      <c r="G36" s="75"/>
      <c r="H36" s="75"/>
    </row>
    <row r="37" spans="1:8" ht="43.5">
      <c r="A37" s="80" t="str">
        <f>VLOOKUP("恐蛛", Data!$B:$D,H1, FALSE)</f>
        <v>恐蛛</v>
      </c>
      <c r="B37" s="81" t="s">
        <v>83</v>
      </c>
      <c r="C37" s="84" t="str">
        <f>VLOOKUP("艾瑞妮洞窟", Data!$B:$D,H1, FALSE)</f>
        <v>蛛后洞窟</v>
      </c>
      <c r="D37" s="85" t="str">
        <f>VLOOKUP("返世亡靈弓箭手", Data!$B:$D,H1, FALSE)</f>
        <v>转生弓手</v>
      </c>
      <c r="E37" s="81" t="s">
        <v>83</v>
      </c>
      <c r="F37" s="82" t="str">
        <f>VLOOKUP("腐潰之林", Data!$B:$D,H1, FALSE)
&amp;CHAR(10)&amp;VLOOKUP("腐潰之林-勇士之陵", Data!$B:$D,H1, FALSE)
&amp;CHAR(10)&amp;VLOOKUP("南部高地-瞭望塔", Data!$B:$D,H1, FALSE)</f>
        <v>烂木林
烂木林-勇士之陵
南方高地-高地哨塔</v>
      </c>
      <c r="G37" s="75"/>
      <c r="H37" s="75"/>
    </row>
    <row r="38" spans="1:8" ht="72.5">
      <c r="A38" s="80" t="str">
        <f>VLOOKUP("骷髏弓箭手", Data!$B:$D,H1, FALSE)</f>
        <v>骷髅弓手</v>
      </c>
      <c r="B38" s="81" t="s">
        <v>83</v>
      </c>
      <c r="C38" s="84" t="str">
        <f>VLOOKUP("大教堂第四層", Data!$B:$D,H1, FALSE)</f>
        <v>大教堂四层</v>
      </c>
      <c r="D38" s="85" t="str">
        <f>VLOOKUP("骷髏", Data!$B:$D,H1, FALSE)</f>
        <v>骷髅</v>
      </c>
      <c r="E38" s="81" t="s">
        <v>83</v>
      </c>
      <c r="F38" s="82" t="str">
        <f>VLOOKUP("荒棄墓園", Data!$B:$D,H1, FALSE)
&amp;CHAR(10)&amp;VLOOKUP("荒棄墓園-被褻瀆的墓穴", Data!$B:$D,H1, FALSE)
&amp;CHAR(10)&amp;VLOOKUP("大教堂第二層", Data!$B:$D,H1, FALSE)
&amp;CHAR(10)&amp;VLOOKUP("大教堂第三層", Data!$B:$D,H1, FALSE)
&amp;CHAR(10)&amp;VLOOKUP("大教堂第四層", Data!$B:$D,H1, FALSE)</f>
        <v>荒废的墓地
荒废的墓地-污秽的墓穴
大教堂二层
大教堂三层
大教堂四层</v>
      </c>
      <c r="G38" s="75"/>
      <c r="H38" s="75"/>
    </row>
    <row r="39" spans="1:8" ht="29">
      <c r="A39" s="80" t="str">
        <f>VLOOKUP("食腐獸", Data!$B:$D,H1, FALSE)</f>
        <v>食腐魔</v>
      </c>
      <c r="B39" s="81" t="s">
        <v>83</v>
      </c>
      <c r="C39" s="82" t="str">
        <f>VLOOKUP("悲泣荒原", Data!$B:$D,H1, FALSE)
&amp;CHAR(10)&amp;VLOOKUP("荒棄墓園-被褻瀆的墓穴", Data!$B:$D,H1, FALSE)</f>
        <v>哭泣山谷
荒废的墓地-污秽的墓穴</v>
      </c>
      <c r="D39" s="85" t="str">
        <f>VLOOKUP("刺針惡魔", Data!$B:$D,H1, FALSE)</f>
        <v>刺脊怪</v>
      </c>
      <c r="E39" s="81" t="s">
        <v>84</v>
      </c>
      <c r="F39" s="82" t="str">
        <f>VLOOKUP("悲慘之原-食腐獸窩巢", Data!$B:$D,H1, FALSE)
&amp;CHAR(10)&amp;VLOOKUP("悲慘之原-失落礦洞", Data!$B:$D,H1, FALSE)</f>
        <v xml:space="preserve">苦难旷野-食腐魔洞穴
苦难旷野-失落矿洞 </v>
      </c>
      <c r="G39" s="75"/>
      <c r="H39" s="75"/>
    </row>
    <row r="40" spans="1:8" ht="29">
      <c r="A40" s="80" t="str">
        <f>VLOOKUP("兇殘魔", Data!$B:$D,H1, FALSE)</f>
        <v>凶残魔</v>
      </c>
      <c r="B40" s="81" t="s">
        <v>84</v>
      </c>
      <c r="C40" s="84" t="str">
        <f>VLOOKUP("詛咒監牢", Data!$B:$D,H1, FALSE)</f>
        <v>诅咒监牢</v>
      </c>
      <c r="D40" s="85" t="str">
        <f>VLOOKUP("狂怒幽靈", Data!$B:$D,H1, FALSE)</f>
        <v>激怒的厉魂</v>
      </c>
      <c r="E40" s="81" t="s">
        <v>82</v>
      </c>
      <c r="F40" s="82" t="str">
        <f>VLOOKUP("悲慘之原-腐朽的墓穴第一層",Data!$B:$D,H1,FALSE)
&amp;CHAR(10)&amp;VLOOKUP("腐潰之林", Data!$B:$D,H1, FALSE)&amp;"（只能靠护腕刷出）"</f>
        <v>苦难旷野-腐烂墓穴一层
烂木林（只能靠护腕刷出）</v>
      </c>
      <c r="G40" s="75"/>
      <c r="H40" s="75"/>
    </row>
    <row r="41" spans="1:8" ht="17" thickBot="1">
      <c r="A41" s="80" t="str">
        <f>VLOOKUP("魔嬰", Data!$B:$D,H1, FALSE)</f>
        <v>顽魔</v>
      </c>
      <c r="B41" s="81" t="s">
        <v>82</v>
      </c>
      <c r="C41" s="84" t="str">
        <f>VLOOKUP("荒棄墓園-被褻瀆的墓穴", Data!$B:$D,H1, FALSE)</f>
        <v>荒废的墓地-污秽的墓穴</v>
      </c>
      <c r="D41" s="163" t="str">
        <f>VLOOKUP("屍塊收割者", Data!$B:$D,H1, FALSE)</f>
        <v>收割魔</v>
      </c>
      <c r="E41" s="87" t="s">
        <v>77</v>
      </c>
      <c r="F41" s="164" t="str">
        <f>VLOOKUP("大教堂第四層", Data!$B:$D,H1, FALSE)</f>
        <v>大教堂四层</v>
      </c>
      <c r="G41" s="75"/>
      <c r="H41" s="75"/>
    </row>
    <row r="42" spans="1:8" ht="29.5" thickBot="1">
      <c r="A42" s="86" t="str">
        <f>VLOOKUP("兇暴蠻牛獸", Data!$B:$D,H1, FALSE)</f>
        <v>蛮牛怪</v>
      </c>
      <c r="B42" s="87" t="s">
        <v>77</v>
      </c>
      <c r="C42" s="88" t="str">
        <f>VLOOKUP("悲慘之原", Data!$B:$D,H1, FALSE)
&amp;CHAR(10)&amp;VLOOKUP("南部高地", Data!$B:$D,H1, FALSE)</f>
        <v>苦难旷野
南方高地</v>
      </c>
      <c r="D42" s="75"/>
      <c r="E42" s="75"/>
      <c r="F42" s="75"/>
      <c r="G42" s="75"/>
      <c r="H42" s="75"/>
    </row>
    <row r="43" spans="1:8" ht="15.5" thickBot="1"/>
    <row r="44" spans="1:8" ht="21.5" thickBot="1">
      <c r="A44" s="731" t="str">
        <f>VLOOKUP("戰利品收藏家", Data!$B:$D,H1, FALSE)</f>
        <v>显赫人生</v>
      </c>
      <c r="B44" s="732"/>
      <c r="C44" s="732"/>
      <c r="D44" s="732"/>
      <c r="E44" s="732"/>
      <c r="F44" s="733"/>
      <c r="G44" t="str">
        <f>"&lt;-配合"&amp;VLOOKUP("死敵護腕", Data!$B:$D,H1, FALSE)&amp;"可以快速完成"</f>
        <v>&lt;-配合复仇者护腕可以快速完成</v>
      </c>
    </row>
    <row r="45" spans="1:8" ht="15.5" thickBot="1">
      <c r="A45" t="s">
        <v>125</v>
      </c>
    </row>
    <row r="46" spans="1:8" s="1" customFormat="1" ht="15.5" thickBot="1">
      <c r="A46" s="478" t="s">
        <v>3953</v>
      </c>
      <c r="B46" s="479" t="s">
        <v>3954</v>
      </c>
      <c r="C46" s="480" t="s">
        <v>27</v>
      </c>
      <c r="D46" s="481" t="s">
        <v>3953</v>
      </c>
      <c r="E46" s="479" t="s">
        <v>3954</v>
      </c>
      <c r="F46" s="482" t="s">
        <v>3955</v>
      </c>
    </row>
    <row r="47" spans="1:8" ht="29">
      <c r="A47" s="122" t="str">
        <f>VLOOKUP("狂怒幽影", Data!$B:$D,H1, FALSE)</f>
        <v>激怒的厉魂</v>
      </c>
      <c r="B47" s="123" t="s">
        <v>97</v>
      </c>
      <c r="C47" s="124" t="str">
        <f>VLOOKUP("衛斯馬屈城中區-瘟疫地道", Data!$B:$D,H1, FALSE)</f>
        <v>威斯特玛城中区-瘟疫地道</v>
      </c>
      <c r="D47" s="125" t="str">
        <f>VLOOKUP("骷髏爬行怪", Data!$B:$D,H1, FALSE)</f>
        <v>骷髅爬行者</v>
      </c>
      <c r="E47" s="123" t="s">
        <v>97</v>
      </c>
      <c r="F47" s="124" t="str">
        <f>VLOOKUP("衛斯馬屈山城區-骸骨地窖", Data!$B:$D,H1, FALSE)
&amp;CHAR(10)&amp;VLOOKUP("衛斯馬屈城中區-瘟疫地道", Data!$B:$D,H1, FALSE)</f>
        <v>威斯特玛上城区-骸骨地窖
威斯特玛城中区-瘟疫地道</v>
      </c>
    </row>
    <row r="48" spans="1:8" ht="43.5">
      <c r="A48" s="126" t="str">
        <f>VLOOKUP("喚鼠狂魔", Data!$B:$D,H1, FALSE)</f>
        <v>唤鼠师</v>
      </c>
      <c r="B48" s="127" t="s">
        <v>97</v>
      </c>
      <c r="C48" s="128" t="str">
        <f>VLOOKUP("衛斯馬屈山城區-骸骨地窖", Data!$B:$D,H1, FALSE)
&amp;CHAR(10)&amp;VLOOKUP("衛斯馬屈城中區-瘟疫地道", Data!$B:$D,H1, FALSE)</f>
        <v>威斯特玛上城区-骸骨地窖
威斯特玛城中区-瘟疫地道</v>
      </c>
      <c r="D48" s="129" t="str">
        <f>VLOOKUP("洞穴蝙蝠", Data!$B:$D,H1, FALSE)</f>
        <v>洞穴蝙蝠</v>
      </c>
      <c r="E48" s="127" t="s">
        <v>97</v>
      </c>
      <c r="F48" s="128" t="str">
        <f>VLOOKUP("溺水沼地-盧瑞石洞", Data!$B:$D,H1, FALSE)
&amp;CHAR(10)&amp;VLOOKUP("溺水沼地-兇險洞窟", Data!$B:$D,H1, FALSE)
&amp;CHAR(10)&amp;VLOOKUP("溺水沼地-曲折洞穴", Data!$B:$D,H1, FALSE)</f>
        <v>漫水古道-卢雷石洞
漫水古道-凶险洞穴
漫水古道-羊肠洞穴</v>
      </c>
    </row>
    <row r="49" spans="1:6" ht="29">
      <c r="A49" s="126" t="str">
        <f>VLOOKUP("笞爬獸", Data!$B:$D,H1, FALSE)</f>
        <v>鞭笞爬行兽</v>
      </c>
      <c r="B49" s="127" t="s">
        <v>96</v>
      </c>
      <c r="C49" s="128" t="str">
        <f>VLOOKUP("溺水沼地-兇險洞窟", Data!$B:$D,H1, FALSE)
&amp;CHAR(10)&amp;VLOOKUP("溺水沼地-盧瑞石洞", Data!$B:$D,H1, FALSE)</f>
        <v>漫水古道-凶险洞穴
漫水古道-卢雷石洞</v>
      </c>
      <c r="D49" s="129" t="str">
        <f>VLOOKUP("蛆蟲巢獸", Data!$B:$D,H1, FALSE)</f>
        <v>蛆虫育母</v>
      </c>
      <c r="E49" s="127" t="s">
        <v>96</v>
      </c>
      <c r="F49" s="128" t="str">
        <f>VLOOKUP("溺水沼地-盧瑞石洞", Data!$B:$D,H1, FALSE)
&amp;CHAR(10)&amp;VLOOKUP("溺水沼地-兇險洞窟", Data!$B:$D,H1, FALSE)</f>
        <v>漫水古道-卢雷石洞
漫水古道-凶险洞穴</v>
      </c>
    </row>
    <row r="50" spans="1:6" ht="29">
      <c r="A50" s="126" t="str">
        <f>VLOOKUP("長牙沼澤怪", Data!$B:$D,H1, FALSE)</f>
        <v>尖牙沼泽兽</v>
      </c>
      <c r="B50" s="127" t="s">
        <v>96</v>
      </c>
      <c r="C50" s="128" t="str">
        <f>VLOOKUP("溺水沼地", Data!$B:$D,H1, FALSE)</f>
        <v>漫水古道</v>
      </c>
      <c r="D50" s="129" t="str">
        <f>VLOOKUP("尖嘯邪巨蝠", Data!$B:$D,H1, FALSE)</f>
        <v>尖啸恐蝠</v>
      </c>
      <c r="E50" s="127" t="s">
        <v>96</v>
      </c>
      <c r="F50" s="128" t="str">
        <f>VLOOKUP("血沼澤", Data!$B:$D,H1, FALSE)
&amp;CHAR(10)&amp;VLOOKUP("溺水沼地", Data!$B:$D,H1, FALSE)</f>
        <v>鲜血沼泽
漫水古道</v>
      </c>
    </row>
    <row r="51" spans="1:6" ht="29">
      <c r="A51" s="126" t="str">
        <f>VLOOKUP("血魔吞噬者", Data!$B:$D,H1, FALSE)</f>
        <v>血魔吞食者</v>
      </c>
      <c r="B51" s="127" t="s">
        <v>96</v>
      </c>
      <c r="C51" s="128" t="str">
        <f>VLOOKUP("寇佛斯入口", Data!$B:$D,H1, FALSE)
&amp;CHAR(10)&amp;VLOOKUP("寇佛斯遺跡", Data!$B:$D,H1, FALSE)</f>
        <v>往科乌斯之路
科乌斯废墟</v>
      </c>
      <c r="D51" s="129" t="str">
        <f>VLOOKUP("血魔薩滿", Data!$B:$D,H1, FALSE)</f>
        <v>血肉萨满</v>
      </c>
      <c r="E51" s="127" t="s">
        <v>96</v>
      </c>
      <c r="F51" s="128" t="str">
        <f>VLOOKUP("寇佛斯入口", Data!$B:$D,H1, FALSE)
&amp;CHAR(10)&amp;VLOOKUP("寇佛斯遺跡", Data!$B:$D,H1, FALSE)</f>
        <v>往科乌斯之路
科乌斯废墟</v>
      </c>
    </row>
    <row r="52" spans="1:6">
      <c r="A52" s="126" t="str">
        <f>VLOOKUP("飛翼兇魔", Data!$B:$D,H1, FALSE)</f>
        <v>飞翼刺杀者</v>
      </c>
      <c r="B52" s="127" t="s">
        <v>96</v>
      </c>
      <c r="C52" s="128" t="str">
        <f>VLOOKUP("混沌界要塞第一層", Data!$B:$D,H1, FALSE)</f>
        <v>混沌要塞一层</v>
      </c>
      <c r="D52" s="129" t="str">
        <f>VLOOKUP("叛天靈", Data!$B:$D,H1, FALSE)</f>
        <v>叛天灵</v>
      </c>
      <c r="E52" s="127" t="s">
        <v>97</v>
      </c>
      <c r="F52" s="128" t="str">
        <f>VLOOKUP("混沌界要塞第一層", Data!$B:$D,H1, FALSE)</f>
        <v>混沌要塞一层</v>
      </c>
    </row>
    <row r="53" spans="1:6">
      <c r="A53" s="126" t="str">
        <f>VLOOKUP("處決者", Data!$B:$D,H1, FALSE)</f>
        <v>处决者</v>
      </c>
      <c r="B53" s="127" t="s">
        <v>96</v>
      </c>
      <c r="C53" s="128" t="str">
        <f>VLOOKUP("混沌界要塞第二層", Data!$B:$D,H1, FALSE)</f>
        <v>混沌要塞二层</v>
      </c>
      <c r="D53" s="129" t="str">
        <f>VLOOKUP("督天靈", Data!$B:$D,H1, FALSE)</f>
        <v>督天灵</v>
      </c>
      <c r="E53" s="127" t="s">
        <v>96</v>
      </c>
      <c r="F53" s="128" t="str">
        <f>VLOOKUP("混沌界要塞第一層", Data!$B:$D,H1, FALSE)</f>
        <v>混沌要塞一层</v>
      </c>
    </row>
    <row r="54" spans="1:6">
      <c r="A54" s="126" t="str">
        <f>VLOOKUP("原生鎧岩獸", Data!$B:$D,H1, FALSE)</f>
        <v>原始食腐兽</v>
      </c>
      <c r="B54" s="127" t="s">
        <v>96</v>
      </c>
      <c r="C54" s="128" t="str">
        <f>VLOOKUP("永恆戰場", Data!$B:$D,H1, FALSE)</f>
        <v>永恒战场</v>
      </c>
      <c r="D54" s="129" t="str">
        <f>VLOOKUP("鉤刺潛伏者", Data!$B:$D,H1, FALSE)</f>
        <v>勾刺潜伏者</v>
      </c>
      <c r="E54" s="127" t="s">
        <v>96</v>
      </c>
      <c r="F54" s="128" t="str">
        <f>VLOOKUP("永恆戰場", Data!$B:$D,H1, FALSE)</f>
        <v>永恒战场</v>
      </c>
    </row>
    <row r="55" spans="1:6">
      <c r="A55" s="126" t="str">
        <f>VLOOKUP("馭屍者", Data!$B:$D,H1, FALSE)</f>
        <v>控尸者</v>
      </c>
      <c r="B55" s="127" t="s">
        <v>96</v>
      </c>
      <c r="C55" s="128" t="str">
        <f>VLOOKUP("布萊索恩墓園", Data!$B:$D,H1, FALSE)</f>
        <v>棘草墓园</v>
      </c>
      <c r="D55" s="129" t="str">
        <f>VLOOKUP("邪天靈", Data!$B:$D,H1, FALSE)</f>
        <v>邪天灵</v>
      </c>
      <c r="E55" s="127" t="s">
        <v>97</v>
      </c>
      <c r="F55" s="128" t="str">
        <f>VLOOKUP("布萊索恩墓園", Data!$B:$D,H1, FALSE)</f>
        <v>棘草墓园</v>
      </c>
    </row>
    <row r="56" spans="1:6">
      <c r="A56" s="126" t="str">
        <f>VLOOKUP("死亡侍女", Data!$B:$D,H1, FALSE)</f>
        <v>死神侍女</v>
      </c>
      <c r="B56" s="127" t="s">
        <v>96</v>
      </c>
      <c r="C56" s="128" t="str">
        <f>VLOOKUP("衛斯馬屈城中區", Data!$B:$D,H1, FALSE)</f>
        <v>威斯特玛城中区</v>
      </c>
      <c r="D56" s="129" t="str">
        <f>VLOOKUP("亡魄士兵", Data!$B:$D,H1, FALSE)</f>
        <v>亡魂士兵</v>
      </c>
      <c r="E56" s="127" t="s">
        <v>96</v>
      </c>
      <c r="F56" s="128" t="str">
        <f>VLOOKUP("衛斯馬屈城中區", Data!$B:$D,H1, FALSE)</f>
        <v>威斯特玛城中区</v>
      </c>
    </row>
    <row r="57" spans="1:6" ht="15.5" thickBot="1">
      <c r="A57" s="126" t="str">
        <f>VLOOKUP("亡魄盾衛", Data!$B:$D,H1, FALSE)</f>
        <v>亡魂盾卫</v>
      </c>
      <c r="B57" s="127" t="s">
        <v>96</v>
      </c>
      <c r="C57" s="128" t="str">
        <f>VLOOKUP("衛斯馬屈城中區", Data!$B:$D,H1, FALSE)</f>
        <v>威斯特玛城中区</v>
      </c>
      <c r="D57" s="130" t="str">
        <f>VLOOKUP("亡魄弓箭手", Data!$B:$D,H1, FALSE)</f>
        <v>亡魂弓手</v>
      </c>
      <c r="E57" s="131" t="s">
        <v>96</v>
      </c>
      <c r="F57" s="132" t="str">
        <f>VLOOKUP("衛斯馬屈城中區", Data!$B:$D,H1, FALSE)</f>
        <v>威斯特玛城中区</v>
      </c>
    </row>
    <row r="58" spans="1:6" ht="15.5" thickBot="1">
      <c r="A58" s="133" t="str">
        <f>VLOOKUP("獵犬首領", Data!$B:$D,H1, FALSE)</f>
        <v>猎犬首领</v>
      </c>
      <c r="B58" s="134" t="s">
        <v>96</v>
      </c>
      <c r="C58" s="135" t="str">
        <f>VLOOKUP("衛斯馬屈山城區", Data!$B:$D,H1, FALSE)</f>
        <v>威斯特玛上城区</v>
      </c>
      <c r="D58" s="136"/>
      <c r="E58" s="137"/>
      <c r="F58" s="136"/>
    </row>
  </sheetData>
  <mergeCells count="2">
    <mergeCell ref="A2:F2"/>
    <mergeCell ref="A44:F44"/>
  </mergeCells>
  <phoneticPr fontId="7" type="noConversion"/>
  <dataValidations count="1">
    <dataValidation type="list" allowBlank="1" showInputMessage="1" showErrorMessage="1" sqref="G1" xr:uid="{00000000-0002-0000-0500-000000000000}">
      <formula1>"繁體中文,简体中文"</formula1>
    </dataValidation>
  </dataValidations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0"/>
  <sheetViews>
    <sheetView workbookViewId="0">
      <pane ySplit="1" topLeftCell="A2" activePane="bottomLeft" state="frozen"/>
      <selection pane="bottomLeft"/>
    </sheetView>
  </sheetViews>
  <sheetFormatPr defaultColWidth="8.9140625" defaultRowHeight="15"/>
  <cols>
    <col min="1" max="1" width="15.58203125" customWidth="1"/>
    <col min="2" max="2" width="5.58203125" customWidth="1"/>
    <col min="3" max="3" width="25.58203125" customWidth="1"/>
    <col min="4" max="4" width="15.58203125" customWidth="1"/>
    <col min="5" max="5" width="5.58203125" customWidth="1"/>
    <col min="6" max="6" width="25.58203125" customWidth="1"/>
    <col min="7" max="27" width="9" customWidth="1"/>
  </cols>
  <sheetData>
    <row r="1" spans="1:8" s="78" customFormat="1" ht="17" thickBot="1">
      <c r="A1" s="73" t="s">
        <v>2023</v>
      </c>
      <c r="B1" s="74" t="s">
        <v>2030</v>
      </c>
      <c r="C1" s="75"/>
      <c r="D1" s="75"/>
      <c r="E1" s="75"/>
      <c r="F1" s="76" t="s">
        <v>2021</v>
      </c>
      <c r="G1" s="573" t="s">
        <v>3676</v>
      </c>
      <c r="H1" s="319">
        <f>VLOOKUP(G1,Data!$A:$B,2, FALSE)</f>
        <v>2</v>
      </c>
    </row>
    <row r="2" spans="1:8" ht="23" thickBot="1">
      <c r="A2" s="725" t="str">
        <f>VLOOKUP("勇士進行曲", Data!$B:$D,H1, FALSE)</f>
        <v>我们才是勇士</v>
      </c>
      <c r="B2" s="726"/>
      <c r="C2" s="726"/>
      <c r="D2" s="726"/>
      <c r="E2" s="726"/>
      <c r="F2" s="727"/>
      <c r="G2" s="75"/>
      <c r="H2" s="75"/>
    </row>
    <row r="3" spans="1:8" ht="16.5">
      <c r="A3" s="75" t="s">
        <v>6044</v>
      </c>
      <c r="B3" s="75"/>
      <c r="C3" s="75"/>
      <c r="D3" s="75"/>
      <c r="E3" s="75"/>
      <c r="F3" s="75"/>
      <c r="G3" s="75"/>
      <c r="H3" s="75"/>
    </row>
    <row r="4" spans="1:8" s="1" customFormat="1" ht="16.5">
      <c r="A4" s="487" t="s">
        <v>3950</v>
      </c>
      <c r="B4" s="487" t="s">
        <v>3951</v>
      </c>
      <c r="C4" s="488" t="s">
        <v>27</v>
      </c>
      <c r="D4" s="489" t="s">
        <v>3950</v>
      </c>
      <c r="E4" s="487" t="s">
        <v>3951</v>
      </c>
      <c r="F4" s="487" t="s">
        <v>3952</v>
      </c>
      <c r="G4" s="73"/>
      <c r="H4" s="73"/>
    </row>
    <row r="5" spans="1:8" ht="29">
      <c r="A5" s="108" t="str">
        <f>VLOOKUP("魔虜軍團士兵", Data!$B:$D,H1, FALSE)</f>
        <v>魔鲁军团士兵</v>
      </c>
      <c r="B5" s="109" t="s">
        <v>88</v>
      </c>
      <c r="C5" s="154" t="str">
        <f>VLOOKUP("銀光尖塔第一層", Data!$B:$D,H1, FALSE)
&amp;CHAR(10)&amp;VLOOKUP("銀光尖塔第二層", Data!$B:$D,H1, FALSE)</f>
        <v>银色高塔一层
银色高塔二层</v>
      </c>
      <c r="D5" s="108" t="str">
        <f>VLOOKUP("壓制者", Data!$B:$D,H1, FALSE)</f>
        <v>统御魔</v>
      </c>
      <c r="E5" s="109" t="s">
        <v>88</v>
      </c>
      <c r="F5" s="680" t="str">
        <f>VLOOKUP("希望園圃第一階", Data!$B:$D,H1, FALSE)
&amp;CHAR(10)&amp;VLOOKUP("地獄之門第一層", Data!$B:$D,H1, FALSE)</f>
        <v>希望花园一层
地狱裂隙一层</v>
      </c>
      <c r="G5" s="75"/>
      <c r="H5" s="75"/>
    </row>
    <row r="6" spans="1:8" ht="17" thickBot="1">
      <c r="A6" s="165" t="str">
        <f>VLOOKUP("巨拳領主", Data!$B:$D,H1, FALSE)</f>
        <v>捶地魔</v>
      </c>
      <c r="B6" s="114" t="s">
        <v>88</v>
      </c>
      <c r="C6" s="117" t="str">
        <f>VLOOKUP("銀光尖塔第二層", Data!$B:$D,H1, FALSE)</f>
        <v>银色高塔二层</v>
      </c>
      <c r="D6" s="121" t="str">
        <f>VLOOKUP("被奴役的夢魘", Data!$B:$D,H1, FALSE)</f>
        <v>奴役梦魇</v>
      </c>
      <c r="E6" s="119" t="s">
        <v>88</v>
      </c>
      <c r="F6" s="158" t="str">
        <f>VLOOKUP("銀光尖塔第二層", Data!$B:$D,H1, FALSE)</f>
        <v>银色高塔二层</v>
      </c>
      <c r="G6" s="75"/>
      <c r="H6" s="75"/>
    </row>
    <row r="7" spans="1:8" ht="17" thickBot="1">
      <c r="A7" s="121" t="str">
        <f>VLOOKUP("暗空火妖蝠", Data!$B:$D,H1, FALSE)</f>
        <v>黑天火魔</v>
      </c>
      <c r="B7" s="119" t="s">
        <v>88</v>
      </c>
      <c r="C7" s="158" t="str">
        <f>VLOOKUP("希望園圃第二階", Data!$B:$D,H1, FALSE)</f>
        <v>希望花园二层</v>
      </c>
      <c r="D7" s="213" t="str">
        <f>VLOOKUP("瘟疫蟲群", Data!$B:$D,H1, FALSE)</f>
        <v>疫病虫群</v>
      </c>
      <c r="E7" s="214" t="s">
        <v>87</v>
      </c>
      <c r="F7" s="240" t="str">
        <f>VLOOKUP("戰場-克萊德哨站", Data!$B:$D,H1, FALSE)</f>
        <v>战场-克莱德的哨所</v>
      </c>
      <c r="G7" s="75"/>
      <c r="H7" s="75"/>
    </row>
    <row r="8" spans="1:8" ht="58">
      <c r="A8" s="238" t="str">
        <f>VLOOKUP("魅魔", Data!$B:$D,H1, FALSE)</f>
        <v>魅魔</v>
      </c>
      <c r="B8" s="214" t="s">
        <v>87</v>
      </c>
      <c r="C8" s="215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D8" s="216" t="str">
        <f>VLOOKUP("撕魂獸", Data!$B:$D,H1, FALSE)</f>
        <v>灵魂撕裂者</v>
      </c>
      <c r="E8" s="217" t="s">
        <v>87</v>
      </c>
      <c r="F8" s="218" t="str">
        <f>VLOOKUP("要塞下層第一層", Data!$B:$D,H1, FALSE)
&amp;CHAR(10)&amp;VLOOKUP("要塞下層第二層", Data!$B:$D,H1, FALSE)</f>
        <v>要塞深渊一层
要塞深渊二层</v>
      </c>
      <c r="G8" s="75"/>
      <c r="H8" s="75"/>
    </row>
    <row r="9" spans="1:8" ht="16.5">
      <c r="A9" s="239" t="str">
        <f>VLOOKUP("黑暗骷髏弓手", Data!$B:$D,H1, FALSE)</f>
        <v>黑骷髅弓手</v>
      </c>
      <c r="B9" s="217" t="s">
        <v>87</v>
      </c>
      <c r="C9" s="219" t="str">
        <f>VLOOKUP("要塞下層", Data!$B:$D,H1, FALSE)</f>
        <v>要塞深渊</v>
      </c>
      <c r="D9" s="216" t="str">
        <f>VLOOKUP("顱骸砍劈者", Data!$B:$D,H1, FALSE)</f>
        <v>劈颅手</v>
      </c>
      <c r="E9" s="217" t="s">
        <v>87</v>
      </c>
      <c r="F9" s="219" t="str">
        <f>VLOOKUP("戰場-戰場儲備所", Data!$B:$D,H1, FALSE)</f>
        <v>战场-战备物资储藏室</v>
      </c>
      <c r="G9" s="75"/>
      <c r="H9" s="75"/>
    </row>
    <row r="10" spans="1:8" ht="29">
      <c r="A10" s="239" t="str">
        <f>VLOOKUP("骷髏掠奪者", Data!$B:$D,H1, FALSE)</f>
        <v>骷髅掠夺者</v>
      </c>
      <c r="B10" s="217" t="s">
        <v>87</v>
      </c>
      <c r="C10" s="219" t="str">
        <f>VLOOKUP("戰場-戰場儲備所", Data!$B:$D,H1, FALSE)</f>
        <v>战场-战备物资储藏室</v>
      </c>
      <c r="D10" s="216" t="str">
        <f>VLOOKUP("冰刺脊魔", Data!$B:$D,H1, FALSE)</f>
        <v>寒冰刺背兽</v>
      </c>
      <c r="E10" s="217" t="s">
        <v>87</v>
      </c>
      <c r="F10" s="218" t="str">
        <f>VLOOKUP("要塞下層", Data!$B:$D,H1, FALSE)
&amp;CHAR(10)&amp;VLOOKUP("殺戮戰場-寒霜洞窟", Data!$B:$D,H1, FALSE)</f>
        <v>要塞深渊
血腥战场-寒冰洞</v>
      </c>
      <c r="G10" s="75"/>
      <c r="H10" s="75"/>
    </row>
    <row r="11" spans="1:8" ht="58">
      <c r="A11" s="239" t="str">
        <f>VLOOKUP("冥河毒蠍", Data!$B:$D,H1, FALSE)</f>
        <v>地狱爬行者</v>
      </c>
      <c r="B11" s="217" t="s">
        <v>87</v>
      </c>
      <c r="C11" s="218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D11" s="216" t="str">
        <f>VLOOKUP("冬禍女獵手", Data!$B:$D,H1, FALSE)</f>
        <v>霜鬓女猎手</v>
      </c>
      <c r="E11" s="217" t="s">
        <v>87</v>
      </c>
      <c r="F11" s="219" t="str">
        <f>VLOOKUP("殺戮戰場-寒霜洞窟", Data!$B:$D,H1, FALSE)</f>
        <v>血腥战场-寒冰洞</v>
      </c>
      <c r="G11" s="75"/>
      <c r="H11" s="75"/>
    </row>
    <row r="12" spans="1:8" ht="43.5">
      <c r="A12" s="239" t="str">
        <f>VLOOKUP("血族玄術師", Data!$B:$D,H1, FALSE)</f>
        <v>鲜血氏族秘术师</v>
      </c>
      <c r="B12" s="217" t="s">
        <v>87</v>
      </c>
      <c r="C12" s="218" t="str">
        <f>VLOOKUP("亞瑞特巨坑第二層", Data!$B:$D,H1, FALSE)
&amp;CHAR(10)&amp;VLOOKUP("詛咒之塔第一層", Data!$B:$D,H1, FALSE)
&amp;CHAR(10)&amp;VLOOKUP("詛咒之塔第二層", Data!$B:$D,H1, FALSE)</f>
        <v>亚瑞特巨坑二层
诅咒者之塔一层
诅咒者之塔二层</v>
      </c>
      <c r="D12" s="216" t="str">
        <f>VLOOKUP("血族法師", Data!$B:$D,H1, FALSE)</f>
        <v>鲜血氏族巫师</v>
      </c>
      <c r="E12" s="217" t="s">
        <v>87</v>
      </c>
      <c r="F12" s="218" t="str">
        <f>VLOOKUP("殺戮戰場", Data!$B:$D,H1, FALSE)
&amp;CHAR(10)&amp;VLOOKUP("拉基斯路口", Data!$B:$D,H1, FALSE)
&amp;CHAR(10)&amp;VLOOKUP("拉基斯路口-橋底地窖", Data!$B:$D,H1, FALSE)</f>
        <v>血腥战场
拉基斯之渡
拉基斯之渡-桥底</v>
      </c>
      <c r="G12" s="75"/>
      <c r="H12" s="75"/>
    </row>
    <row r="13" spans="1:8" ht="58">
      <c r="A13" s="239" t="str">
        <f>VLOOKUP("血族標槍兵", Data!$B:$D,H1, FALSE)</f>
        <v>鲜血氏族穿心手</v>
      </c>
      <c r="B13" s="217" t="s">
        <v>87</v>
      </c>
      <c r="C13" s="218" t="str">
        <f>VLOOKUP("亞瑞特巨坑第一層", Data!$B:$D,H1, FALSE)
&amp;CHAR(10)&amp;VLOOKUP("亞瑞特巨坑第二層", Data!$B:$D,H1, FALSE)
&amp;CHAR(10)&amp;VLOOKUP("詛咒之塔第一層", Data!$B:$D,H1, FALSE)
&amp;CHAR(10)&amp;VLOOKUP("詛咒之塔第二層", Data!$B:$D,H1, FALSE)</f>
        <v>亚瑞特巨坑一层
亚瑞特巨坑二层
诅咒者之塔一层
诅咒者之塔二层</v>
      </c>
      <c r="D13" s="216" t="str">
        <f>VLOOKUP("血族打擊兵", Data!$B:$D,H1, FALSE)</f>
        <v>鲜血氏族撕裂者</v>
      </c>
      <c r="E13" s="217" t="s">
        <v>87</v>
      </c>
      <c r="F13" s="218" t="str">
        <f>VLOOKUP("詛咒之塔第一層", Data!$B:$D,H1, FALSE)
&amp;CHAR(10)&amp;VLOOKUP("詛咒之塔第二層", Data!$B:$D,H1, FALSE)</f>
        <v>诅咒者之塔一层
诅咒者之塔二层</v>
      </c>
      <c r="G13" s="75"/>
      <c r="H13" s="75"/>
    </row>
    <row r="14" spans="1:8" ht="72.5">
      <c r="A14" s="239" t="str">
        <f>VLOOKUP("血族戰士", Data!$B:$D,H1, FALSE)</f>
        <v>鲜血氏族战士</v>
      </c>
      <c r="B14" s="217" t="s">
        <v>87</v>
      </c>
      <c r="C14" s="218" t="str">
        <f>VLOOKUP("戰場", Data!$B:$D,H1, FALSE)
&amp;CHAR(10)&amp;VLOOKUP("科斯克橋", Data!$B:$D,H1, FALSE)
&amp;CHAR(10)&amp;VLOOKUP("殺戮戰場", Data!$B:$D,H1, FALSE)
&amp;CHAR(10)&amp;VLOOKUP("拉基斯路口", Data!$B:$D,H1, FALSE)
&amp;CHAR(10)&amp;VLOOKUP("拉基斯路口-橋底地窖", Data!$B:$D,H1, FALSE)</f>
        <v>战场
科尔斯克之桥
血腥战场
拉基斯之渡
拉基斯之渡-桥底</v>
      </c>
      <c r="D14" s="216" t="str">
        <f>VLOOKUP("沉淪魔地獄犬", Data!$B:$D,H1, FALSE)</f>
        <v>堕落地狱犬</v>
      </c>
      <c r="E14" s="217" t="s">
        <v>87</v>
      </c>
      <c r="F14" s="218" t="str">
        <f>VLOOKUP("拉基斯路口", Data!$B:$D,H1, FALSE)
&amp;CHAR(10)&amp;VLOOKUP("譴罪之塔第一層", Data!$B:$D,H1, FALSE)</f>
        <v>拉基斯之渡
天谴者之塔一层</v>
      </c>
      <c r="G14" s="75"/>
      <c r="H14" s="75"/>
    </row>
    <row r="15" spans="1:8" ht="58">
      <c r="A15" s="239" t="str">
        <f>VLOOKUP("沉淪魔雜犬", Data!$B:$D,H1, FALSE)</f>
        <v>堕落混血魔</v>
      </c>
      <c r="B15" s="217" t="s">
        <v>87</v>
      </c>
      <c r="C15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D15" s="216" t="str">
        <f>VLOOKUP("沉淪魔士兵", Data!$B:$D,H1, FALSE)</f>
        <v>堕落士兵</v>
      </c>
      <c r="E15" s="217" t="s">
        <v>87</v>
      </c>
      <c r="F15" s="218" t="str">
        <f>VLOOKUP("拉基斯路口", Data!$B:$D,H1, FALSE)
&amp;CHAR(10)&amp;VLOOKUP("深淵之緣", Data!$B:$D,H1, FALSE)
&amp;CHAR(10)&amp;VLOOKUP("亞瑞特巨坑第一層", Data!$B:$D,H1, FALSE)
&amp;CHAR(10)&amp;VLOOKUP("譴罪之塔第一層", Data!$B:$D,H1, FALSE)</f>
        <v>拉基斯之渡
深渊的尽头
亚瑞特巨坑一层
天谴者之塔一层</v>
      </c>
      <c r="G15" s="75"/>
      <c r="H15" s="75"/>
    </row>
    <row r="16" spans="1:8" ht="58">
      <c r="A16" s="239" t="str">
        <f>VLOOKUP("沉淪魔蠻兵", Data!$B:$D,H1, FALSE)</f>
        <v>堕落蛮兵</v>
      </c>
      <c r="B16" s="217" t="s">
        <v>87</v>
      </c>
      <c r="C16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D16" s="236" t="str">
        <f>VLOOKUP("沉淪魔奴隸主", Data!$B:$D,H1, FALSE)</f>
        <v>堕落奴隶主</v>
      </c>
      <c r="E16" s="217" t="s">
        <v>87</v>
      </c>
      <c r="F16" s="218" t="str">
        <f>VLOOKUP("拉基斯路口", Data!$B:$D,H1, FALSE)
&amp;CHAR(10)&amp;VLOOKUP("譴罪之塔第一層", Data!$B:$D,H1, FALSE)</f>
        <v>拉基斯之渡
天谴者之塔一层</v>
      </c>
      <c r="G16" s="75"/>
      <c r="H16" s="75"/>
    </row>
    <row r="17" spans="1:8" ht="58">
      <c r="A17" s="239" t="str">
        <f>VLOOKUP("沉淪魔霸主", Data!$B:$D,H1, FALSE)</f>
        <v>堕落领主</v>
      </c>
      <c r="B17" s="217" t="s">
        <v>87</v>
      </c>
      <c r="C17" s="218" t="str">
        <f>VLOOKUP("天冠城垛", Data!$B:$D,H1, FALSE)
&amp;CHAR(10)&amp;VLOOKUP("石壘", Data!$B:$D,H1, FALSE)
&amp;CHAR(10)&amp;VLOOKUP("亞瑞特之門-兵營", Data!$B:$D,H1, FALSE)
&amp;CHAR(10)&amp;VLOOKUP("戰場-前線兵營", Data!$B:$D,H1, FALSE)</f>
        <v>天冠城垛
坚石壁垒
亚瑞特大门-营房
战场-先锋军营房</v>
      </c>
      <c r="D17" s="216" t="str">
        <f>VLOOKUP("惡魔突擊兵", Data!$B:$D,H1, FALSE)</f>
        <v>恶魔士兵</v>
      </c>
      <c r="E17" s="217" t="s">
        <v>87</v>
      </c>
      <c r="F17" s="218" t="str">
        <f>VLOOKUP("天冠城垛", Data!$B:$D,H1, FALSE)
&amp;CHAR(10)&amp;VLOOKUP("石壘", Data!$B:$D,H1, FALSE)
&amp;CHAR(10)&amp;VLOOKUP("要塞下層第一層", Data!$B:$D,H1, FALSE)</f>
        <v>天冠城垛
坚石壁垒
要塞深渊一层</v>
      </c>
      <c r="G17" s="75"/>
      <c r="H17" s="75"/>
    </row>
    <row r="18" spans="1:8" ht="44" thickBot="1">
      <c r="A18" s="247" t="str">
        <f>VLOOKUP("魔翼妖蝠", Data!$B:$D,H1, FALSE)</f>
        <v>地狱天鬼</v>
      </c>
      <c r="B18" s="242" t="s">
        <v>87</v>
      </c>
      <c r="C18" s="243" t="str">
        <f>VLOOKUP("天冠城垛", Data!$B:$D,H1, FALSE)
&amp;CHAR(10)&amp;VLOOKUP("石壘", Data!$B:$D,H1, FALSE)
&amp;CHAR(10)&amp;VLOOKUP("亞瑞特之門-兵營第一層", Data!$B:$D,H1, FALSE)</f>
        <v>天冠城垛
坚石壁垒
亚瑞特大门-营房一层</v>
      </c>
      <c r="D18" s="216" t="str">
        <f>VLOOKUP("瘟疫使者", Data!$B:$D,H1, FALSE)</f>
        <v>疫病传染体</v>
      </c>
      <c r="E18" s="217" t="s">
        <v>87</v>
      </c>
      <c r="F18" s="218" t="str">
        <f>VLOOKUP("戰場", Data!$B:$D,H1, FALSE)
&amp;CHAR(10)&amp;VLOOKUP("殺戮戰場", Data!$B:$D,H1, FALSE)
&amp;CHAR(10)&amp;VLOOKUP("亞瑞特巨坑第一層", Data!$B:$D,H1, FALSE)</f>
        <v>战场
血腥战场
亚瑞特巨坑一层</v>
      </c>
      <c r="G18" s="75"/>
      <c r="H18" s="75"/>
    </row>
    <row r="19" spans="1:8" ht="17" thickBot="1">
      <c r="A19" s="151" t="str">
        <f>VLOOKUP("裝甲破壞魔", Data!$B:$D,H1, FALSE)</f>
        <v>铁甲摧毁者</v>
      </c>
      <c r="B19" s="106" t="s">
        <v>88</v>
      </c>
      <c r="C19" s="107" t="str">
        <f>VLOOKUP("希望園圃第一階", Data!$B:$D,H1, FALSE)</f>
        <v>希望花园一层</v>
      </c>
      <c r="D19" s="220" t="str">
        <f>VLOOKUP("震地魔", Data!$B:$D,H1, FALSE)</f>
        <v>恶魔震地者</v>
      </c>
      <c r="E19" s="221" t="s">
        <v>87</v>
      </c>
      <c r="F19" s="225" t="str">
        <f>VLOOKUP("戰場-防禦碉堡", Data!$B:$D,H1, FALSE)</f>
        <v>战场-坚固的地堡</v>
      </c>
      <c r="G19" s="75"/>
      <c r="H19" s="75"/>
    </row>
    <row r="20" spans="1:8" ht="58.5" thickBot="1">
      <c r="A20" s="248" t="str">
        <f>VLOOKUP("兇暴移行獸", Data!$B:$D,H1, FALSE)</f>
        <v>巨型移形兽</v>
      </c>
      <c r="B20" s="249" t="s">
        <v>87</v>
      </c>
      <c r="C20" s="250" t="str">
        <f>VLOOKUP("亞瑞特巨坑第二層", Data!$B:$D,H1, FALSE)
&amp;CHAR(10)&amp;VLOOKUP("詛咒之塔第一層", Data!$B:$D,H1, FALSE)
&amp;CHAR(10)&amp;VLOOKUP("詛咒之塔第二層", Data!$B:$D,H1, FALSE)
&amp;CHAR(10)&amp;VLOOKUP("亞瑞特地核", Data!$B:$D,H1, FALSE)</f>
        <v>亚瑞特巨坑二层
诅咒者之塔一层
诅咒者之塔二层
亚瑞特核心</v>
      </c>
      <c r="D20" s="93" t="str">
        <f>VLOOKUP("兇邪蟲群", Data!$B:$D,H1, FALSE)</f>
        <v>虫群</v>
      </c>
      <c r="E20" s="91" t="s">
        <v>86</v>
      </c>
      <c r="F20" s="94" t="str">
        <f>VLOOKUP("淒涼沙地-刺客地庫", Data!$B:$D,H1, FALSE)
&amp;CHAR(10)&amp;VLOOKUP("佐敦庫勒秘庫-風暴長廊", Data!$B:$D,H1, FALSE)</f>
        <v>凄凉沙漠-刺客密室
佐敦·库勒藏书馆-风暴殿堂</v>
      </c>
      <c r="G20" s="75"/>
      <c r="H20" s="75"/>
    </row>
    <row r="21" spans="1:8" ht="43.5">
      <c r="A21" s="166" t="str">
        <f>VLOOKUP("幼生蛛群", Data!$B:$D,H1, FALSE)</f>
        <v>巢蛛</v>
      </c>
      <c r="B21" s="91" t="s">
        <v>86</v>
      </c>
      <c r="C21" s="94" t="str">
        <f>VLOOKUP("淒涼沙地-背叛者洞穴", Data!$B:$D,H1, FALSE)
&amp;CHAR(10)&amp;VLOOKUP("淒涼沙地-兇邪的洞穴", Data!$B:$D,H1, FALSE)
&amp;CHAR(10)&amp;VLOOKUP("佐敦庫勒秘庫-風暴長廊", Data!$B:$D,H1, FALSE)</f>
        <v>凄凉沙漠-背叛者洞穴
凄凉沙漠-邪恶洞窟
佐敦·库勒藏书馆-风暴殿堂</v>
      </c>
      <c r="D21" s="98" t="str">
        <f>VLOOKUP("吐網蜘蛛", Data!$B:$D,H1, FALSE)</f>
        <v>喷网蜘蛛</v>
      </c>
      <c r="E21" s="96" t="s">
        <v>86</v>
      </c>
      <c r="F21" s="97" t="str">
        <f>VLOOKUP("淒涼沙地-背叛者洞穴", Data!$B:$D,H1, FALSE)
&amp;CHAR(10)&amp;VLOOKUP("淒涼沙地-兇邪的洞穴", Data!$B:$D,H1, FALSE)</f>
        <v>凄凉沙漠-背叛者洞穴
凄凉沙漠-邪恶洞窟</v>
      </c>
      <c r="G21" s="75"/>
      <c r="H21" s="75"/>
    </row>
    <row r="22" spans="1:8" ht="72.5">
      <c r="A22" s="147" t="str">
        <f>VLOOKUP("盤蛇魅影怪", Data!$B:$D,H1, FALSE)</f>
        <v>盘蛇欺诈者</v>
      </c>
      <c r="B22" s="96" t="s">
        <v>86</v>
      </c>
      <c r="C22" s="97" t="str">
        <f>VLOOKUP("達厄古綠洲", Data!$B:$D,H1, FALSE)
&amp;CHAR(10)&amp;VLOOKUP("刺風沙漠-廢墟", Data!$B:$D,H1, FALSE)</f>
        <v>达尔格绿洲
烈风之地-废墟</v>
      </c>
      <c r="D22" s="98" t="str">
        <f>VLOOKUP("劇毒守護者", Data!$B:$D,H1, FALSE)</f>
        <v>剧毒卫士</v>
      </c>
      <c r="E22" s="96" t="s">
        <v>86</v>
      </c>
      <c r="F22" s="97" t="str">
        <f>VLOOKUP("刺風沙漠-失落塑像之室", Data!$B:$D,H1, FALSE)
&amp;CHAR(10)&amp;VLOOKUP("卡爾蒂姆下水道", Data!$B:$D,H1, FALSE)
&amp;CHAR(10)&amp;VLOOKUP("卡爾蒂姆市集-廢棄水道", Data!$B:$D,H1, FALSE)
&amp;CHAR(10)&amp;VLOOKUP("西側水道", Data!$B:$D,H1, FALSE)
&amp;CHAR(10)&amp;VLOOKUP("東側水道", Data!$B:$D,H1, FALSE)</f>
        <v>烈风之地-失落人偶的密厅
卡尔蒂姆下水道
卡尔蒂姆集市-被淹没的堤道
西部水渠
东部水渠</v>
      </c>
      <c r="G22" s="75"/>
      <c r="H22" s="75"/>
    </row>
    <row r="23" spans="1:8" ht="43.5">
      <c r="A23" s="147" t="str">
        <f>VLOOKUP("電能守護者", Data!$B:$D,H1, FALSE)</f>
        <v>闪电卫士</v>
      </c>
      <c r="B23" s="96" t="s">
        <v>86</v>
      </c>
      <c r="C23" s="97" t="str">
        <f>VLOOKUP("達厄古綠洲-遺忘廢墟", Data!$B:$D,H1, FALSE)
&amp;CHAR(10)&amp;VLOOKUP("達厄古綠洲-神秘的洞穴", Data!$B:$D,H1, FALSE)
&amp;CHAR(10)&amp;VLOOKUP("淒涼沙地-刺客地庫", Data!$B:$D,H1, FALSE)</f>
        <v>达尔格绿洲-被遗忘的废墟
达尔格绿洲-神秘洞穴
凄凉沙漠-刺客密室</v>
      </c>
      <c r="D23" s="98" t="str">
        <f>VLOOKUP("凍寒傀儡", Data!$B:$D,H1, FALSE)</f>
        <v>寒霜构造体</v>
      </c>
      <c r="E23" s="96" t="s">
        <v>86</v>
      </c>
      <c r="F23" s="97" t="str">
        <f>VLOOKUP("達厄古綠洲-古老的洞穴", Data!$B:$D,H1, FALSE)
&amp;CHAR(10)&amp;VLOOKUP("佐敦庫勒秘庫-未知深境", Data!$B:$D,H1, FALSE)</f>
        <v>达尔格绿洲-远古洞穴
佐敦·库勒藏书馆-无底深渊</v>
      </c>
      <c r="G23" s="75"/>
      <c r="H23" s="75"/>
    </row>
    <row r="24" spans="1:8" ht="16.5">
      <c r="A24" s="147" t="str">
        <f>VLOOKUP("骷髏遊俠", Data!$B:$D,H1, FALSE)</f>
        <v>骷髅游侠</v>
      </c>
      <c r="B24" s="96"/>
      <c r="C24" s="99" t="str">
        <f>VLOOKUP("卡爾蒂姆下水道", Data!$B:$D,H1, FALSE)</f>
        <v>卡尔蒂姆下水道</v>
      </c>
      <c r="D24" s="98" t="str">
        <f>VLOOKUP("骷髏劈脊者", Data!$B:$D,H1, FALSE)</f>
        <v>凿脊者</v>
      </c>
      <c r="E24" s="96" t="s">
        <v>86</v>
      </c>
      <c r="F24" s="99" t="str">
        <f>VLOOKUP("達厄古綠洲-遺忘廢墟", Data!$B:$D,H1, FALSE)</f>
        <v>达尔格绿洲-被遗忘的废墟</v>
      </c>
      <c r="G24" s="75"/>
      <c r="H24" s="75"/>
    </row>
    <row r="25" spans="1:8" ht="29">
      <c r="A25" s="147" t="str">
        <f>VLOOKUP("骸骨戰士", Data!$B:$D,H1, FALSE)</f>
        <v>白骨战士</v>
      </c>
      <c r="B25" s="96" t="s">
        <v>86</v>
      </c>
      <c r="C25" s="97" t="str">
        <f>VLOOKUP("卡爾蒂姆下水道", Data!$B:$D,H1, FALSE)
&amp;CHAR(10)&amp;VLOOKUP("達厄古綠洲-遺忘廢墟", Data!$B:$D,H1, FALSE)</f>
        <v>卡尔蒂姆下水道
达尔格绿洲-被遗忘的废墟</v>
      </c>
      <c r="D25" s="98" t="str">
        <f>VLOOKUP("骷髏掠劫者", Data!$B:$D,H1, FALSE)</f>
        <v>骷髅袭击者</v>
      </c>
      <c r="E25" s="96" t="s">
        <v>86</v>
      </c>
      <c r="F25" s="97" t="str">
        <f>VLOOKUP("佐敦庫勒秘庫-未知深境", Data!$B:$D,H1, FALSE)
&amp;CHAR(10)&amp;VLOOKUP("佐敦庫勒秘庫-風暴長廊", Data!$B:$D,H1, FALSE)</f>
        <v>佐敦·库勒藏书馆-无底深渊
佐敦·库勒藏书馆-风暴殿堂</v>
      </c>
      <c r="G25" s="75"/>
      <c r="H25" s="75"/>
    </row>
    <row r="26" spans="1:8" ht="43.5">
      <c r="A26" s="147" t="str">
        <f>VLOOKUP("收割魔", Data!$B:$D,H1, FALSE)</f>
        <v>收割者</v>
      </c>
      <c r="B26" s="96" t="s">
        <v>86</v>
      </c>
      <c r="C26" s="97" t="str">
        <f>VLOOKUP("淒涼沙地-鑽岩蟲洞穴", Data!$B:$D,H1, FALSE)</f>
        <v>凄凉沙漠-掘地骇物的洞穴</v>
      </c>
      <c r="D26" s="98" t="str">
        <f>VLOOKUP("沙漠巨蜂", Data!$B:$D,H1, FALSE)</f>
        <v>沙漠蜂</v>
      </c>
      <c r="E26" s="96" t="s">
        <v>86</v>
      </c>
      <c r="F26" s="97" t="str">
        <f>VLOOKUP("碎石谷", Data!$B:$D,H1, FALSE)
&amp;CHAR(10)&amp;VLOOKUP("嚎泣高原", Data!$B:$D,H1, FALSE)
&amp;CHAR(10)&amp;VLOOKUP("刺風沙漠", Data!$B:$D,H1, FALSE)</f>
        <v>破碎峡谷
凄风苔原
烈风之地</v>
      </c>
      <c r="G26" s="75"/>
      <c r="H26" s="75"/>
    </row>
    <row r="27" spans="1:8" ht="29">
      <c r="A27" s="147" t="str">
        <f>VLOOKUP("沙岩巨像", Data!$B:$D,H1, FALSE)</f>
        <v>沙漠巨兽</v>
      </c>
      <c r="B27" s="96" t="s">
        <v>86</v>
      </c>
      <c r="C27" s="99" t="str">
        <f>VLOOKUP("佐敦庫勒秘庫-暗影之境", Data!$B:$D,H1, FALSE)</f>
        <v>佐敦·库勒藏书馆-暗影领域</v>
      </c>
      <c r="D27" s="98" t="str">
        <f>VLOOKUP("岩石巨人", Data!$B:$D,H1, FALSE)</f>
        <v>石巨人</v>
      </c>
      <c r="E27" s="96" t="s">
        <v>86</v>
      </c>
      <c r="F27" s="97" t="str">
        <f>VLOOKUP("佐敦庫勒秘庫-未知深境", Data!$B:$D,H1, FALSE)
&amp;CHAR(10)&amp;VLOOKUP("佐敦庫勒秘庫-風暴長廊", Data!$B:$D,H1, FALSE)</f>
        <v>佐敦·库勒藏书馆-无底深渊
佐敦·库勒藏书馆-风暴殿堂</v>
      </c>
      <c r="G27" s="75"/>
      <c r="H27" s="75"/>
    </row>
    <row r="28" spans="1:8" ht="43.5">
      <c r="A28" s="148" t="str">
        <f>VLOOKUP("拉庫尼狂刀手", Data!$B:$D,H1, FALSE)</f>
        <v>豹人鞭笞者</v>
      </c>
      <c r="B28" s="149" t="s">
        <v>86</v>
      </c>
      <c r="C28" s="97" t="str">
        <f>VLOOKUP("淒涼沙地", Data!$B:$D,H1, FALSE)</f>
        <v>凄凉沙漠</v>
      </c>
      <c r="D28" s="98" t="str">
        <f>VLOOKUP("拉庫尼女獵手", Data!$B:$D,H1, FALSE)</f>
        <v>豹人女猎手</v>
      </c>
      <c r="E28" s="96" t="s">
        <v>86</v>
      </c>
      <c r="F28" s="97" t="str">
        <f>VLOOKUP("碎石谷", Data!$B:$D,H1, FALSE)
&amp;CHAR(10)&amp;VLOOKUP("嚎泣高原", Data!$B:$D,H1, FALSE)
&amp;CHAR(10)&amp;VLOOKUP("刺風沙漠", Data!$B:$D,H1, FALSE)</f>
        <v>破碎峡谷
凄风苔原
烈风之地</v>
      </c>
      <c r="G28" s="75"/>
      <c r="H28" s="75"/>
    </row>
    <row r="29" spans="1:8" ht="16.5">
      <c r="A29" s="147" t="str">
        <f>VLOOKUP("兇狠的食屍鬼", Data!$B:$D,H1, FALSE)</f>
        <v>恶毒的食尸鬼</v>
      </c>
      <c r="B29" s="96" t="s">
        <v>86</v>
      </c>
      <c r="C29" s="99" t="str">
        <f>VLOOKUP("嚎泣高原-熱風洞窟", Data!$B:$D,H1, FALSE)</f>
        <v>凄风苔原-热风洞窟</v>
      </c>
      <c r="D29" s="98" t="str">
        <f>VLOOKUP("陰森亡靈", Data!$B:$D,H1, FALSE)</f>
        <v>厉鬼</v>
      </c>
      <c r="E29" s="96" t="s">
        <v>86</v>
      </c>
      <c r="F29" s="99" t="str">
        <f>VLOOKUP("佐敦庫勒秘庫-暗影之境", Data!$B:$D,H1, FALSE)</f>
        <v>佐敦·库勒藏书馆-暗影领域</v>
      </c>
      <c r="G29" s="75"/>
      <c r="H29" s="75"/>
    </row>
    <row r="30" spans="1:8" ht="29">
      <c r="A30" s="147" t="str">
        <f>VLOOKUP("亡者之靈", Data!$B:$D,H1, FALSE)</f>
        <v>催命恶魂</v>
      </c>
      <c r="B30" s="96" t="s">
        <v>86</v>
      </c>
      <c r="C30" s="99" t="str">
        <f>VLOOKUP("達厄古綠洲-神秘的洞穴", Data!$B:$D,H1, FALSE)</f>
        <v>达尔格绿洲-神秘洞穴</v>
      </c>
      <c r="D30" s="98" t="str">
        <f>VLOOKUP("兇殘妖蝠", Data!$B:$D,H1, FALSE)</f>
        <v>凶残的飞鸟</v>
      </c>
      <c r="E30" s="96" t="s">
        <v>86</v>
      </c>
      <c r="F30" s="97" t="str">
        <f>VLOOKUP("達厄古綠洲-古老的洞穴", Data!$B:$D,H1, FALSE)
&amp;CHAR(10)&amp;VLOOKUP("達厄古綠洲-積水的洞穴", Data!$B:$D,H1, FALSE)</f>
        <v>达尔格绿洲-远古洞穴
达尔格绿洲-漫水洞穴</v>
      </c>
      <c r="G30" s="75"/>
      <c r="H30" s="75"/>
    </row>
    <row r="31" spans="1:8" ht="43.5">
      <c r="A31" s="147" t="str">
        <f>VLOOKUP("咒虐者", Data!$B:$D,H1, FALSE)</f>
        <v>被诅咒者</v>
      </c>
      <c r="B31" s="96" t="s">
        <v>86</v>
      </c>
      <c r="C31" s="97" t="str">
        <f>VLOOKUP("東側水道", Data!$B:$D,H1, FALSE)
&amp;CHAR(10)&amp;VLOOKUP("西側水道", Data!$B:$D,H1, FALSE)
&amp;CHAR(10)&amp;VLOOKUP("嚎泣高原", Data!$B:$D,H1, FALSE)</f>
        <v>东部水渠
西部水渠
凄风苔原</v>
      </c>
      <c r="D31" s="98" t="str">
        <f>VLOOKUP("沉淪喚魔師", Data!$B:$D,H1, FALSE)</f>
        <v>堕落巫师</v>
      </c>
      <c r="E31" s="96" t="s">
        <v>86</v>
      </c>
      <c r="F31" s="99" t="str">
        <f>VLOOKUP("達厄古綠洲", Data!$B:$D,H1, FALSE)</f>
        <v>达尔格绿洲</v>
      </c>
      <c r="G31" s="75"/>
      <c r="H31" s="75"/>
    </row>
    <row r="32" spans="1:8" ht="29">
      <c r="A32" s="147" t="str">
        <f>VLOOKUP("沉淪魔兇犬", Data!$B:$D,H1, FALSE)</f>
        <v>堕落犬</v>
      </c>
      <c r="B32" s="96" t="s">
        <v>86</v>
      </c>
      <c r="C32" s="97" t="str">
        <f>VLOOKUP("佐敦庫勒秘庫-風暴長廊（僅在沉淪魔場景出現）", Data!$B:$D,H1, FALSE)</f>
        <v>佐敦·库勒藏书馆-风暴殿堂（仅在沉沦魔场景出现）</v>
      </c>
      <c r="D32" s="98" t="str">
        <f>VLOOKUP("沉淪魔苦力", Data!$B:$D,H1, FALSE)</f>
        <v>堕落苦工</v>
      </c>
      <c r="E32" s="96" t="s">
        <v>86</v>
      </c>
      <c r="F32" s="99" t="str">
        <f>VLOOKUP("達厄古綠洲", Data!$B:$D,H1, FALSE)</f>
        <v>达尔格绿洲</v>
      </c>
      <c r="G32" s="75"/>
      <c r="H32" s="75"/>
    </row>
    <row r="33" spans="1:8" ht="44" thickBot="1">
      <c r="A33" s="150" t="str">
        <f>VLOOKUP("沉淪魔", Data!$B:$D,H1, FALSE)</f>
        <v>堕落者</v>
      </c>
      <c r="B33" s="101" t="s">
        <v>86</v>
      </c>
      <c r="C33" s="102" t="str">
        <f>VLOOKUP("嚎泣高原", Data!$B:$D,H1, FALSE)
&amp;CHAR(10)&amp;VLOOKUP("黑谷礦坑", Data!$B:$D,H1, FALSE)
&amp;CHAR(10)&amp;VLOOKUP("刺風沙漠", Data!$B:$D,H1, FALSE)</f>
        <v>凄风苔原
崖山矿场
烈风之地</v>
      </c>
      <c r="D33" s="103" t="str">
        <f>VLOOKUP("沉淪魔督軍", Data!$B:$D,H1, FALSE)</f>
        <v>堕落监工</v>
      </c>
      <c r="E33" s="101" t="s">
        <v>86</v>
      </c>
      <c r="F33" s="102" t="str">
        <f>VLOOKUP("嚎泣高原", Data!$B:$D,H1, FALSE)
&amp;CHAR(10)&amp;VLOOKUP("黑谷礦坑", Data!$B:$D,H1, FALSE)
&amp;CHAR(10)&amp;VLOOKUP("刺風沙漠", Data!$B:$D,H1, FALSE)</f>
        <v>凄风苔原
崖山矿场
烈风之地</v>
      </c>
      <c r="G33" s="75"/>
      <c r="H33" s="75"/>
    </row>
    <row r="34" spans="1:8" ht="43.5">
      <c r="A34" s="167" t="str">
        <f>VLOOKUP("飢餓的死者", Data!$B:$D,H1, FALSE)</f>
        <v>恶馋亡灵</v>
      </c>
      <c r="B34" s="160" t="s">
        <v>85</v>
      </c>
      <c r="C34" s="161" t="str">
        <f>VLOOKUP("大教堂第一層", Data!$B:$D,H1, FALSE)
&amp;CHAR(10)&amp;VLOOKUP("悲泣荒原", Data!$B:$D,H1, FALSE)
&amp;CHAR(10)&amp;VLOOKUP("荒棄墓園-被褻瀆的墓穴", Data!$B:$D,H1, FALSE)</f>
        <v>大教堂一层
哭泣山谷
荒废的墓地-污秽的墓穴</v>
      </c>
      <c r="D34" s="159" t="str">
        <f>VLOOKUP("飢餓的殭屍", Data!$B:$D,H1, FALSE)</f>
        <v>饥饿的行尸</v>
      </c>
      <c r="E34" s="160" t="s">
        <v>85</v>
      </c>
      <c r="F34" s="161" t="str">
        <f>VLOOKUP("大教堂第一層", Data!$B:$D,H1, FALSE)
&amp;CHAR(10)&amp;VLOOKUP("悲泣荒原", Data!$B:$D,H1, FALSE)
&amp;CHAR(10)&amp;VLOOKUP("荒棄墓園-被褻瀆的墓穴", Data!$B:$D,H1, FALSE)</f>
        <v>大教堂一层
哭泣山谷
荒废的墓地-污秽的墓穴</v>
      </c>
      <c r="G34" s="75"/>
      <c r="H34" s="75"/>
    </row>
    <row r="35" spans="1:8" ht="29">
      <c r="A35" s="142" t="str">
        <f>VLOOKUP("掘墓屍魔", Data!$B:$D,H1, FALSE)</f>
        <v>无殓巨尸</v>
      </c>
      <c r="B35" s="81" t="s">
        <v>85</v>
      </c>
      <c r="C35" s="84" t="str">
        <f>VLOOKUP("苦痛刑牢", Data!$B:$D,H1, FALSE)</f>
        <v>苦痛大厅</v>
      </c>
      <c r="D35" s="85" t="str">
        <f>VLOOKUP("穢邪奴僕", Data!$B:$D,H1, FALSE)</f>
        <v>不洁的奴役体</v>
      </c>
      <c r="E35" s="81" t="s">
        <v>85</v>
      </c>
      <c r="F35" s="82" t="str">
        <f>VLOOKUP("李奧瑞克狩獵場-高地洞穴", Data!$B:$D,H1, FALSE)
&amp;CHAR(10)&amp;VLOOKUP("苦痛刑牢", Data!$B:$D,H1, FALSE)</f>
        <v>李奧瑞克的狩猎场-高地洞穴
苦痛大厅</v>
      </c>
      <c r="G35" s="75"/>
      <c r="H35" s="75"/>
    </row>
    <row r="36" spans="1:8" ht="29">
      <c r="A36" s="142" t="str">
        <f>VLOOKUP("黑暗魔狼", Data!$B:$D,H1, FALSE)</f>
        <v>黑暗地狱犬</v>
      </c>
      <c r="B36" s="81" t="s">
        <v>85</v>
      </c>
      <c r="C36" s="82" t="str">
        <f>VLOOKUP("南部高地-書院", Data!$B:$D,H1, FALSE)
&amp;CHAR(10)&amp;VLOOKUP("苦痛刑牢", Data!$B:$D,H1, FALSE)</f>
        <v>南方高地-传教所
苦痛大厅</v>
      </c>
      <c r="D36" s="85" t="str">
        <f>VLOOKUP("黑暗狂暴者", Data!$B:$D,H1, FALSE)</f>
        <v>黑暗狂暴者</v>
      </c>
      <c r="E36" s="81" t="s">
        <v>85</v>
      </c>
      <c r="F36" s="82" t="str">
        <f>VLOOKUP("李奧瑞克狩獵場-高地洞穴", Data!$B:$D,H1, FALSE)
&amp;CHAR(10)&amp;VLOOKUP("苦痛刑牢", Data!$B:$D,H1, FALSE)</f>
        <v>李奧瑞克的狩猎场-高地洞穴
苦痛大厅</v>
      </c>
      <c r="G36" s="75"/>
      <c r="H36" s="75"/>
    </row>
    <row r="37" spans="1:8" ht="16.5">
      <c r="A37" s="142" t="str">
        <f>VLOOKUP("小蜘蛛", Data!$B:$D,H1, FALSE)</f>
        <v>小蜘蛛</v>
      </c>
      <c r="B37" s="81" t="s">
        <v>85</v>
      </c>
      <c r="C37" s="84" t="str">
        <f>VLOOKUP("艾瑞妮洞窟", Data!$B:$D,H1, FALSE)</f>
        <v>蛛后洞窟</v>
      </c>
      <c r="D37" s="85" t="str">
        <f>VLOOKUP("骷髏弓箭手", Data!$B:$D,H1, FALSE)</f>
        <v>骷髅弓手</v>
      </c>
      <c r="E37" s="81" t="s">
        <v>85</v>
      </c>
      <c r="F37" s="84" t="str">
        <f>VLOOKUP("大教堂第四層", Data!$B:$D,H1, FALSE)</f>
        <v>大教堂四层</v>
      </c>
      <c r="G37" s="75"/>
      <c r="H37" s="75"/>
    </row>
    <row r="38" spans="1:8" ht="29">
      <c r="A38" s="80" t="str">
        <f>VLOOKUP("返世亡靈處決者", Data!$B:$D,H1, FALSE)</f>
        <v>转生处决者</v>
      </c>
      <c r="B38" s="81" t="s">
        <v>85</v>
      </c>
      <c r="C38" s="82" t="str">
        <f>VLOOKUP("南部高地-瞭望塔", Data!$B:$D,H1, FALSE)
&amp;CHAR(10)&amp;VLOOKUP("詛咒監牢", Data!$B:$D,H1, FALSE)</f>
        <v>南方高地-高地哨塔
诅咒监牢</v>
      </c>
      <c r="D38" s="85" t="str">
        <f>VLOOKUP("食腐獸", Data!$B:$D,H1, FALSE)</f>
        <v>食腐魔</v>
      </c>
      <c r="E38" s="81" t="s">
        <v>85</v>
      </c>
      <c r="F38" s="82" t="str">
        <f>VLOOKUP("悲泣荒原", Data!$B:$D,H1, FALSE)
&amp;CHAR(10)&amp;VLOOKUP("荒棄墓園-被褻瀆的墓穴", Data!$B:$D,H1, FALSE)</f>
        <v>哭泣山谷
荒废的墓地-污秽的墓穴</v>
      </c>
      <c r="G38" s="75"/>
      <c r="H38" s="75"/>
    </row>
    <row r="39" spans="1:8" ht="29">
      <c r="A39" s="80" t="str">
        <f>VLOOKUP("刺針惡魔", Data!$B:$D,H1, FALSE)</f>
        <v>刺脊怪</v>
      </c>
      <c r="B39" s="81" t="s">
        <v>85</v>
      </c>
      <c r="C39" s="82" t="str">
        <f>VLOOKUP("悲慘之原-食腐獸窩巢", Data!$B:$D,H1, FALSE)
&amp;CHAR(10)&amp;VLOOKUP("悲慘之原-失落礦洞", Data!$B:$D,H1, FALSE)</f>
        <v xml:space="preserve">苦难旷野-食腐魔洞穴
苦难旷野-失落矿洞 </v>
      </c>
      <c r="D39" s="85" t="str">
        <f>VLOOKUP("兇殘魔", Data!$B:$D,H1, FALSE)</f>
        <v>凶残魔</v>
      </c>
      <c r="E39" s="81" t="s">
        <v>85</v>
      </c>
      <c r="F39" s="84" t="str">
        <f>VLOOKUP("詛咒監牢", Data!$B:$D,H1, FALSE)</f>
        <v>诅咒监牢</v>
      </c>
      <c r="G39" s="75"/>
      <c r="H39" s="75"/>
    </row>
    <row r="40" spans="1:8" ht="73" thickBot="1">
      <c r="A40" s="80" t="str">
        <f>VLOOKUP("食腐蝙蝠", Data!$B:$D,H1, FALSE)</f>
        <v>食腐蝙蝠</v>
      </c>
      <c r="B40" s="81" t="s">
        <v>85</v>
      </c>
      <c r="C40" s="82" t="str">
        <f>VLOOKUP("大教堂第一層", Data!$B:$D,H1, FALSE)
&amp;CHAR(10)&amp;VLOOKUP("悲泣荒原-沉淪魔窩巢", Data!$B:$D,H1, FALSE)
&amp;CHAR(10)&amp;VLOOKUP("荒棄墓園-被褻瀆的墓穴", Data!$B:$D,H1, FALSE)
&amp;CHAR(10)&amp;VLOOKUP("大教堂第二層", Data!$B:$D,H1, FALSE)
&amp;CHAR(10)&amp;VLOOKUP("大教堂第四層", Data!$B:$D,H1, FALSE)</f>
        <v>大教堂一层
哭泣山谷-堕落者的洞穴
荒废的墓地-污秽的墓穴
大教堂二层
大教堂四层</v>
      </c>
      <c r="D40" s="143" t="str">
        <f>VLOOKUP("魔嬰", Data!$B:$D,H1, FALSE)</f>
        <v>顽魔</v>
      </c>
      <c r="E40" s="87" t="s">
        <v>85</v>
      </c>
      <c r="F40" s="164" t="str">
        <f>VLOOKUP("荒棄墓園-被褻瀆的墓穴", Data!$B:$D,H1, FALSE)</f>
        <v>荒废的墓地-污秽的墓穴</v>
      </c>
      <c r="G40" s="75"/>
      <c r="H40" s="75"/>
    </row>
    <row r="41" spans="1:8" ht="17" thickBot="1">
      <c r="A41" s="143" t="str">
        <f>VLOOKUP("長角蠻牛獸", Data!$B:$D,H1, FALSE)</f>
        <v>蛮牛怪</v>
      </c>
      <c r="B41" s="87" t="s">
        <v>85</v>
      </c>
      <c r="C41" s="164" t="str">
        <f>VLOOKUP("李奧瑞克狩獵場", Data!$B:$D,H1, FALSE)</f>
        <v>李奧瑞克的狩猎场</v>
      </c>
      <c r="D41" s="75"/>
      <c r="E41" s="75"/>
      <c r="F41" s="75"/>
      <c r="G41" s="75"/>
      <c r="H41" s="75"/>
    </row>
    <row r="42" spans="1:8" ht="15.5" thickBot="1"/>
    <row r="43" spans="1:8" ht="21.5" thickBot="1">
      <c r="A43" s="728" t="str">
        <f>VLOOKUP("勇士你和我", Data!$B:$D,H1, FALSE)</f>
        <v>弱者必须死</v>
      </c>
      <c r="B43" s="729"/>
      <c r="C43" s="729"/>
      <c r="D43" s="729"/>
      <c r="E43" s="729"/>
      <c r="F43" s="730"/>
    </row>
    <row r="44" spans="1:8" ht="15.5" thickBot="1">
      <c r="A44" t="s">
        <v>123</v>
      </c>
    </row>
    <row r="45" spans="1:8" s="1" customFormat="1" ht="15.5" thickBot="1">
      <c r="A45" s="478" t="s">
        <v>3953</v>
      </c>
      <c r="B45" s="479" t="s">
        <v>3954</v>
      </c>
      <c r="C45" s="480" t="s">
        <v>27</v>
      </c>
      <c r="D45" s="481" t="s">
        <v>3953</v>
      </c>
      <c r="E45" s="479" t="s">
        <v>3954</v>
      </c>
      <c r="F45" s="482" t="s">
        <v>3955</v>
      </c>
    </row>
    <row r="46" spans="1:8" ht="29">
      <c r="A46" s="122" t="str">
        <f>VLOOKUP("喚鼠狂魔", Data!$B:$D,H1, FALSE)</f>
        <v>唤鼠师</v>
      </c>
      <c r="B46" s="123" t="s">
        <v>97</v>
      </c>
      <c r="C46" s="124" t="str">
        <f>VLOOKUP("衛斯馬屈城中區-瘟疫地道", Data!$B:$D,H1, FALSE)
&amp;CHAR(10)&amp;VLOOKUP("衛斯馬屈山城區-骸骨地窖", Data!$B:$D,H1, FALSE)</f>
        <v>威斯特玛城中区-瘟疫地道
威斯特玛上城区-骸骨地窖</v>
      </c>
      <c r="D46" s="125" t="str">
        <f>VLOOKUP("骷髏爬行怪", Data!$B:$D,H1, FALSE)</f>
        <v>骷髅爬行者</v>
      </c>
      <c r="E46" s="123" t="s">
        <v>97</v>
      </c>
      <c r="F46" s="124" t="str">
        <f>VLOOKUP("衛斯馬屈山城區-骸骨地窖", Data!$B:$D,H1, FALSE)</f>
        <v>威斯特玛上城区-骸骨地窖</v>
      </c>
    </row>
    <row r="47" spans="1:8" ht="29">
      <c r="A47" s="126" t="str">
        <f>VLOOKUP("狂怒幽影", Data!$B:$D,H1, FALSE)</f>
        <v>激怒的厉魂</v>
      </c>
      <c r="B47" s="127" t="s">
        <v>97</v>
      </c>
      <c r="C47" s="128" t="str">
        <f>VLOOKUP("衛斯馬屈城中區-瘟疫地道", Data!$B:$D,H1, FALSE)
&amp;CHAR(10)&amp;VLOOKUP("衛斯馬屈山城區-骸骨地窖", Data!$B:$D,H1, FALSE)</f>
        <v>威斯特玛城中区-瘟疫地道
威斯特玛上城区-骸骨地窖</v>
      </c>
      <c r="D47" s="129" t="str">
        <f>VLOOKUP("蛆蟲巢獸", Data!$B:$D,H1, FALSE)</f>
        <v>蛆虫育母</v>
      </c>
      <c r="E47" s="127" t="s">
        <v>97</v>
      </c>
      <c r="F47" s="128" t="str">
        <f>VLOOKUP("溺水沼地-盧瑞石洞", Data!$B:$D,H1, FALSE)
&amp;CHAR(10)&amp;VLOOKUP("溺水沼地-兇險洞窟", Data!$B:$D,H1, FALSE)</f>
        <v>漫水古道-卢雷石洞
漫水古道-凶险洞穴</v>
      </c>
    </row>
    <row r="48" spans="1:8" ht="43.5">
      <c r="A48" s="126" t="str">
        <f>VLOOKUP("笞爬獸", Data!$B:$D,H1, FALSE)</f>
        <v>鞭笞爬行兽</v>
      </c>
      <c r="B48" s="127" t="s">
        <v>96</v>
      </c>
      <c r="C48" s="128" t="str">
        <f>VLOOKUP("溺水沼地-兇險洞窟", Data!$B:$D,H1, FALSE)
&amp;CHAR(10)&amp;VLOOKUP("溺水沼地-盧瑞石洞", Data!$B:$D,H1, FALSE)
&amp;CHAR(10)&amp;VLOOKUP("溺水沼地-曲折洞穴", Data!$B:$D,H1, FALSE)</f>
        <v>漫水古道-凶险洞穴
漫水古道-卢雷石洞
漫水古道-羊肠洞穴</v>
      </c>
      <c r="D48" s="129" t="str">
        <f>VLOOKUP("洞穴蝙蝠", Data!$B:$D,H1, FALSE)</f>
        <v>洞穴蝙蝠</v>
      </c>
      <c r="E48" s="127" t="s">
        <v>96</v>
      </c>
      <c r="F48" s="128" t="str">
        <f>VLOOKUP("溺水沼地-盧瑞石洞", Data!$B:$D,H1, FALSE)</f>
        <v>漫水古道-卢雷石洞</v>
      </c>
    </row>
    <row r="49" spans="1:6" ht="29">
      <c r="A49" s="126" t="str">
        <f>VLOOKUP("利齒沼澤怪", Data!$B:$D,H1, FALSE)</f>
        <v>沼泽怪</v>
      </c>
      <c r="B49" s="127" t="s">
        <v>96</v>
      </c>
      <c r="C49" s="128" t="str">
        <f>VLOOKUP("血沼澤", Data!$B:$D,H1, FALSE)
&amp;CHAR(10)&amp;VLOOKUP("溺水沼地", Data!$B:$D,H1, FALSE)</f>
        <v>鲜血沼泽
漫水古道</v>
      </c>
      <c r="D49" s="129" t="str">
        <f>VLOOKUP("長牙沼澤怪", Data!$B:$D,H1, FALSE)</f>
        <v>尖牙沼泽兽</v>
      </c>
      <c r="E49" s="127" t="s">
        <v>96</v>
      </c>
      <c r="F49" s="128" t="str">
        <f>VLOOKUP("血沼澤", Data!$B:$D,H1, FALSE)
&amp;CHAR(10)&amp;VLOOKUP("溺水沼地", Data!$B:$D,H1, FALSE)</f>
        <v>鲜血沼泽
漫水古道</v>
      </c>
    </row>
    <row r="50" spans="1:6">
      <c r="A50" s="129" t="str">
        <f>VLOOKUP("尖嘯邪巨蝠", Data!$B:$D,H1, FALSE)</f>
        <v>尖啸恐蝠</v>
      </c>
      <c r="B50" s="127" t="s">
        <v>96</v>
      </c>
      <c r="C50" s="128" t="str">
        <f>VLOOKUP("血沼澤", Data!$B:$D,H1, FALSE)</f>
        <v>鲜血沼泽</v>
      </c>
      <c r="D50" s="126" t="str">
        <f>VLOOKUP("陷阱沼澤怪", Data!$B:$D,H1, FALSE)</f>
        <v>沼泽诱捕兽</v>
      </c>
      <c r="E50" s="127" t="s">
        <v>96</v>
      </c>
      <c r="F50" s="128" t="str">
        <f>VLOOKUP("溺水沼地", Data!$B:$D,H1, FALSE)</f>
        <v>漫水古道</v>
      </c>
    </row>
    <row r="51" spans="1:6" ht="29">
      <c r="A51" s="129" t="str">
        <f>VLOOKUP("蠍甲蟲", Data!$B:$D,H1, FALSE)</f>
        <v>圣甲虫</v>
      </c>
      <c r="B51" s="127" t="s">
        <v>96</v>
      </c>
      <c r="C51" s="128" t="str">
        <f>VLOOKUP("寇佛斯入口", Data!$B:$D,H1, FALSE)
&amp;CHAR(10)&amp;VLOOKUP("寇佛斯遺跡", Data!$B:$D,H1, FALSE)</f>
        <v>往科乌斯之路
科乌斯废墟</v>
      </c>
      <c r="D51" s="126" t="str">
        <f>VLOOKUP("血魔吞噬者", Data!$B:$D,H1, FALSE)</f>
        <v>血魔吞食者</v>
      </c>
      <c r="E51" s="127" t="s">
        <v>96</v>
      </c>
      <c r="F51" s="128" t="str">
        <f>VLOOKUP("寇佛斯入口", Data!$B:$D,H1, FALSE)
&amp;CHAR(10)&amp;VLOOKUP("寇佛斯遺跡", Data!$B:$D,H1, FALSE)</f>
        <v>往科乌斯之路
科乌斯废墟</v>
      </c>
    </row>
    <row r="52" spans="1:6" ht="29">
      <c r="A52" s="129" t="str">
        <f>VLOOKUP("血魔薩滿", Data!$B:$D,H1, FALSE)</f>
        <v>血肉萨满</v>
      </c>
      <c r="B52" s="127" t="s">
        <v>96</v>
      </c>
      <c r="C52" s="128" t="str">
        <f>VLOOKUP("出土廢墟第一層", Data!$B:$D,H1, FALSE)
&amp;CHAR(10)&amp;VLOOKUP("寇佛斯入口", Data!$B:$D,H1, FALSE)</f>
        <v>出土废墟一层
往科乌斯之路</v>
      </c>
      <c r="D52" s="126" t="str">
        <f>VLOOKUP("飛翼兇魔", Data!$B:$D,H1, FALSE)</f>
        <v>飞翼刺杀者</v>
      </c>
      <c r="E52" s="127" t="s">
        <v>96</v>
      </c>
      <c r="F52" s="128" t="str">
        <f>VLOOKUP("混沌界要塞", Data!$B:$D,H1, FALSE)</f>
        <v>混沌要塞</v>
      </c>
    </row>
    <row r="53" spans="1:6">
      <c r="A53" s="129" t="str">
        <f>VLOOKUP("督天靈", Data!$B:$D,H1, FALSE)</f>
        <v>督天灵</v>
      </c>
      <c r="B53" s="127" t="s">
        <v>96</v>
      </c>
      <c r="C53" s="128" t="str">
        <f>VLOOKUP("混沌界要塞第一層", Data!$B:$D,H1, FALSE)</f>
        <v>混沌要塞一层</v>
      </c>
      <c r="D53" s="126" t="str">
        <f>VLOOKUP("處決者", Data!$B:$D,H1, FALSE)</f>
        <v>处决者</v>
      </c>
      <c r="E53" s="127" t="s">
        <v>96</v>
      </c>
      <c r="F53" s="128" t="str">
        <f>VLOOKUP("涅法雷姆秘境", Data!$B:$D,H1, FALSE)</f>
        <v>奈非天秘境</v>
      </c>
    </row>
    <row r="54" spans="1:6">
      <c r="A54" s="129" t="str">
        <f>VLOOKUP("叛天靈", Data!$B:$D,H1, FALSE)</f>
        <v>叛天灵</v>
      </c>
      <c r="B54" s="127" t="s">
        <v>96</v>
      </c>
      <c r="C54" s="128" t="str">
        <f>VLOOKUP("混沌界要塞第二層", Data!$B:$D,H1, FALSE)</f>
        <v>混沌要塞二层</v>
      </c>
      <c r="D54" s="126" t="str">
        <f>VLOOKUP("原生鎧岩獸", Data!$B:$D,H1, FALSE)</f>
        <v>原始食腐兽</v>
      </c>
      <c r="E54" s="127" t="s">
        <v>96</v>
      </c>
      <c r="F54" s="128" t="str">
        <f>VLOOKUP("永恆戰場", Data!$B:$D,H1, FALSE)</f>
        <v>永恒战场</v>
      </c>
    </row>
    <row r="55" spans="1:6">
      <c r="A55" s="129" t="str">
        <f>VLOOKUP("突衝獸", Data!$B:$D,H1, FALSE)</f>
        <v>扫荡冲锋兽</v>
      </c>
      <c r="B55" s="127" t="s">
        <v>96</v>
      </c>
      <c r="C55" s="128" t="str">
        <f>VLOOKUP("永恆戰場", Data!$B:$D,H1, FALSE)</f>
        <v>永恒战场</v>
      </c>
      <c r="D55" s="126" t="str">
        <f>VLOOKUP("擲渣小妖", Data!$B:$D,H1, FALSE)</f>
        <v>扫荡掷击兽</v>
      </c>
      <c r="E55" s="127" t="s">
        <v>96</v>
      </c>
      <c r="F55" s="128" t="str">
        <f>VLOOKUP("永恆戰場", Data!$B:$D,H1, FALSE)</f>
        <v>永恒战场</v>
      </c>
    </row>
    <row r="56" spans="1:6">
      <c r="A56" s="129" t="str">
        <f>VLOOKUP("馭屍者", Data!$B:$D,H1, FALSE)</f>
        <v>控尸者</v>
      </c>
      <c r="B56" s="127" t="s">
        <v>97</v>
      </c>
      <c r="C56" s="128" t="str">
        <f>VLOOKUP("布萊索恩墓園", Data!$B:$D,H1, FALSE)</f>
        <v>棘草墓园</v>
      </c>
      <c r="D56" s="126" t="str">
        <f>VLOOKUP("邪蝠", Data!$B:$D,H1, FALSE)</f>
        <v>邪蝠</v>
      </c>
      <c r="E56" s="127" t="s">
        <v>96</v>
      </c>
      <c r="F56" s="128" t="str">
        <f>VLOOKUP("布萊索恩墓園", Data!$B:$D,H1, FALSE)</f>
        <v>棘草墓园</v>
      </c>
    </row>
    <row r="57" spans="1:6">
      <c r="A57" s="129" t="str">
        <f>VLOOKUP("迅捷血肉擊打者", Data!$B:$D,H1, FALSE)</f>
        <v>迅捷的捣肉者</v>
      </c>
      <c r="B57" s="127" t="s">
        <v>96</v>
      </c>
      <c r="C57" s="128" t="str">
        <f>VLOOKUP("布萊索恩墓園", Data!$B:$D,H1, FALSE)</f>
        <v>棘草墓园</v>
      </c>
      <c r="D57" s="126" t="str">
        <f>VLOOKUP("死亡侍女", Data!$B:$D,H1, FALSE)</f>
        <v>死神侍女</v>
      </c>
      <c r="E57" s="127" t="s">
        <v>96</v>
      </c>
      <c r="F57" s="128" t="str">
        <f>VLOOKUP("衛斯馬屈城中區", Data!$B:$D,H1, FALSE)</f>
        <v>威斯特玛城中区</v>
      </c>
    </row>
    <row r="58" spans="1:6">
      <c r="A58" s="129" t="str">
        <f>VLOOKUP("亡魄士兵", Data!$B:$D,H1, FALSE)</f>
        <v>亡魂士兵</v>
      </c>
      <c r="B58" s="127" t="s">
        <v>96</v>
      </c>
      <c r="C58" s="128" t="str">
        <f>VLOOKUP("大教堂前庭", Data!$B:$D,H1, FALSE)</f>
        <v>大教堂前庭</v>
      </c>
      <c r="D58" s="126" t="str">
        <f>VLOOKUP("亡魄盾衛", Data!$B:$D,H1, FALSE)</f>
        <v>亡魂盾卫</v>
      </c>
      <c r="E58" s="127" t="s">
        <v>96</v>
      </c>
      <c r="F58" s="128" t="str">
        <f>VLOOKUP("衛斯馬屈城中區", Data!$B:$D,H1, FALSE)</f>
        <v>威斯特玛城中区</v>
      </c>
    </row>
    <row r="59" spans="1:6" ht="15.5" thickBot="1">
      <c r="A59" s="130" t="str">
        <f>VLOOKUP("亡魄弓箭手", Data!$B:$D,H1, FALSE)</f>
        <v>亡魂弓手</v>
      </c>
      <c r="B59" s="127" t="s">
        <v>96</v>
      </c>
      <c r="C59" s="132" t="str">
        <f>VLOOKUP("衛斯馬屈城中區", Data!$B:$D,H1, FALSE)</f>
        <v>威斯特玛城中区</v>
      </c>
      <c r="D59" s="133" t="str">
        <f>VLOOKUP("邪天靈", Data!$B:$D,H1, FALSE)</f>
        <v>邪天灵</v>
      </c>
      <c r="E59" s="134" t="s">
        <v>96</v>
      </c>
      <c r="F59" s="135" t="str">
        <f>VLOOKUP("衛斯馬屈山城區", Data!$B:$D,H1, FALSE)</f>
        <v>威斯特玛上城区</v>
      </c>
    </row>
    <row r="60" spans="1:6" ht="15.5" thickBot="1">
      <c r="A60" s="133" t="str">
        <f>VLOOKUP("兇犬", Data!$B:$D,H1, FALSE)</f>
        <v>凶犬</v>
      </c>
      <c r="B60" s="134" t="s">
        <v>96</v>
      </c>
      <c r="C60" s="135" t="str">
        <f>VLOOKUP("衛斯馬屈山城區", Data!$B:$D,H1, FALSE)</f>
        <v>威斯特玛上城区</v>
      </c>
    </row>
  </sheetData>
  <mergeCells count="2">
    <mergeCell ref="A2:F2"/>
    <mergeCell ref="A43:F43"/>
  </mergeCells>
  <phoneticPr fontId="7" type="noConversion"/>
  <dataValidations count="1">
    <dataValidation type="list" allowBlank="1" showInputMessage="1" showErrorMessage="1" sqref="G1" xr:uid="{00000000-0002-0000-0600-000000000000}">
      <formula1>"繁體中文,简体中文"</formula1>
    </dataValidation>
  </dataValidation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4"/>
  <sheetViews>
    <sheetView workbookViewId="0">
      <pane ySplit="1" topLeftCell="A23" activePane="bottomLeft" state="frozen"/>
      <selection pane="bottomLeft" activeCell="D39" sqref="D39:D45"/>
    </sheetView>
  </sheetViews>
  <sheetFormatPr defaultColWidth="9" defaultRowHeight="15"/>
  <cols>
    <col min="1" max="1" width="25.58203125" style="1" customWidth="1"/>
    <col min="2" max="2" width="25.58203125" style="173" customWidth="1"/>
    <col min="3" max="3" width="15.58203125" customWidth="1"/>
    <col min="4" max="4" width="75.58203125" customWidth="1"/>
  </cols>
  <sheetData>
    <row r="1" spans="1:6" s="78" customFormat="1" ht="17" thickBot="1">
      <c r="A1" s="73" t="s">
        <v>2023</v>
      </c>
      <c r="B1" s="168" t="s">
        <v>2108</v>
      </c>
      <c r="C1" s="75"/>
      <c r="D1" s="76" t="s">
        <v>2021</v>
      </c>
      <c r="E1" s="573" t="s">
        <v>6908</v>
      </c>
      <c r="F1" s="319">
        <f>VLOOKUP(E1,Data!$A:$B,2, FALSE)</f>
        <v>1</v>
      </c>
    </row>
    <row r="2" spans="1:6" ht="23" thickBot="1">
      <c r="A2" s="749" t="str">
        <f>VLOOKUP("速讀強記", Data!$B:$D,F1, FALSE)</f>
        <v>速讀強記</v>
      </c>
      <c r="B2" s="750"/>
      <c r="C2" s="750"/>
      <c r="D2" s="751"/>
      <c r="E2" s="75"/>
      <c r="F2" s="75"/>
    </row>
    <row r="3" spans="1:6" s="1" customFormat="1" ht="16.5">
      <c r="A3" s="490" t="s">
        <v>2289</v>
      </c>
      <c r="B3" s="491" t="s">
        <v>2290</v>
      </c>
      <c r="C3" s="492" t="s">
        <v>2291</v>
      </c>
      <c r="D3" s="493" t="s">
        <v>2292</v>
      </c>
      <c r="E3" s="73"/>
      <c r="F3" s="73"/>
    </row>
    <row r="4" spans="1:6" ht="16.5">
      <c r="A4" s="517" t="str">
        <f>VLOOKUP("愛德莉亞的日誌", Data!$B:$D,F1, FALSE)</f>
        <v>愛德莉亞的日誌</v>
      </c>
      <c r="B4" s="325" t="str">
        <f>VLOOKUP("舊鎮道路-愛德莉雅的小屋", Data!$B:$D,F1, FALSE)</f>
        <v>舊鎮道路-愛德莉雅的小屋</v>
      </c>
      <c r="C4" s="326" t="str">
        <f>VLOOKUP("莉亞", Data!$B:$D,F1, FALSE)</f>
        <v>莉亞</v>
      </c>
      <c r="D4" s="327" t="s">
        <v>2039</v>
      </c>
      <c r="E4" s="75"/>
      <c r="F4" s="75"/>
    </row>
    <row r="5" spans="1:6" ht="16.5">
      <c r="A5" s="517" t="str">
        <f>VLOOKUP("拉克達南的卷軸：第一卷", Data!$B:$D,F1, FALSE)</f>
        <v>拉克達南的卷軸：第一卷</v>
      </c>
      <c r="B5" s="737" t="str">
        <f>VLOOKUP("大教堂", Data!$B:$D,F1, FALSE)</f>
        <v>大教堂</v>
      </c>
      <c r="C5" s="737" t="str">
        <f>VLOOKUP("抄寫台", Data!$B:$D,F1, FALSE)</f>
        <v>抄寫台</v>
      </c>
      <c r="D5" s="327" t="s">
        <v>2041</v>
      </c>
      <c r="E5" s="75"/>
      <c r="F5" s="75"/>
    </row>
    <row r="6" spans="1:6" ht="16.5">
      <c r="A6" s="517" t="str">
        <f>VLOOKUP("拉克達南的卷軸：第二卷", Data!$B:$D,F1, FALSE)</f>
        <v>拉克達南的卷軸：第二卷</v>
      </c>
      <c r="B6" s="738"/>
      <c r="C6" s="738"/>
      <c r="D6" s="327" t="s">
        <v>2042</v>
      </c>
      <c r="E6" s="75"/>
      <c r="F6" s="75"/>
    </row>
    <row r="7" spans="1:6" ht="16.5">
      <c r="A7" s="517" t="str">
        <f>VLOOKUP("拉克達南的卷軸：第三卷", Data!$B:$D,F1, FALSE)</f>
        <v>拉克達南的卷軸：第三卷</v>
      </c>
      <c r="B7" s="738"/>
      <c r="C7" s="738"/>
      <c r="D7" s="327" t="s">
        <v>2043</v>
      </c>
      <c r="E7" s="75"/>
      <c r="F7" s="75"/>
    </row>
    <row r="8" spans="1:6" ht="16.5">
      <c r="A8" s="518" t="str">
        <f>VLOOKUP("拉克達南的卷軸：第四卷", Data!$B:$D,F1, FALSE)</f>
        <v>拉克達南的卷軸：第四卷</v>
      </c>
      <c r="B8" s="738"/>
      <c r="C8" s="738"/>
      <c r="D8" s="328" t="s">
        <v>2044</v>
      </c>
      <c r="E8" s="75"/>
      <c r="F8" s="75"/>
    </row>
    <row r="9" spans="1:6" ht="16.5">
      <c r="A9" s="517" t="str">
        <f>VLOOKUP("拉克達南的卷軸：第五卷", Data!$B:$D,F1, FALSE)</f>
        <v>拉克達南的卷軸：第五卷</v>
      </c>
      <c r="B9" s="739"/>
      <c r="C9" s="739"/>
      <c r="D9" s="327" t="s">
        <v>2045</v>
      </c>
      <c r="E9" s="75"/>
      <c r="F9" s="75"/>
    </row>
    <row r="10" spans="1:6" ht="16.5">
      <c r="A10" s="517" t="str">
        <f>VLOOKUP("莉亞的日誌：第一篇", Data!$B:$D,F1, FALSE)</f>
        <v>莉亞的日誌：第一篇</v>
      </c>
      <c r="B10" s="737" t="str">
        <f>VLOOKUP("新崔斯特姆-莉亞的房間", Data!$B:$D,F1, FALSE)</f>
        <v>新崔斯特姆-莉亞的房間</v>
      </c>
      <c r="C10" s="737" t="str">
        <f>VLOOKUP("莉亞的日誌", Data!$B:$D,F1, FALSE)</f>
        <v>莉亞的日誌</v>
      </c>
      <c r="D10" s="329" t="s">
        <v>2046</v>
      </c>
      <c r="E10" s="75"/>
      <c r="F10" s="75"/>
    </row>
    <row r="11" spans="1:6" ht="16.5">
      <c r="A11" s="517" t="str">
        <f>VLOOKUP("莉亞的日誌：第二篇", Data!$B:$D,F1, FALSE)</f>
        <v>莉亞的日誌：第二篇</v>
      </c>
      <c r="B11" s="738"/>
      <c r="C11" s="738"/>
      <c r="D11" s="329" t="s">
        <v>2047</v>
      </c>
      <c r="E11" s="75"/>
      <c r="F11" s="75"/>
    </row>
    <row r="12" spans="1:6" ht="16.5">
      <c r="A12" s="518" t="str">
        <f>VLOOKUP("莉亞的日誌：第三篇", Data!$B:$D,F1, FALSE)</f>
        <v>莉亞的日誌：第三篇</v>
      </c>
      <c r="B12" s="738"/>
      <c r="C12" s="738"/>
      <c r="D12" s="326" t="s">
        <v>2048</v>
      </c>
      <c r="E12" s="75"/>
      <c r="F12" s="75"/>
    </row>
    <row r="13" spans="1:6" ht="16.5">
      <c r="A13" s="519" t="str">
        <f>VLOOKUP("莉亞的日誌：第四篇", Data!$B:$D,F1, FALSE)</f>
        <v>莉亞的日誌：第四篇</v>
      </c>
      <c r="B13" s="738"/>
      <c r="C13" s="738"/>
      <c r="D13" s="326" t="s">
        <v>2049</v>
      </c>
      <c r="E13" s="75"/>
      <c r="F13" s="75"/>
    </row>
    <row r="14" spans="1:6" ht="16.5">
      <c r="A14" s="517" t="str">
        <f>VLOOKUP("莉亞的日誌：第五篇", Data!$B:$D,F1, FALSE)</f>
        <v>莉亞的日誌：第五篇</v>
      </c>
      <c r="B14" s="738"/>
      <c r="C14" s="738"/>
      <c r="D14" s="329" t="s">
        <v>2050</v>
      </c>
      <c r="E14" s="75"/>
      <c r="F14" s="75"/>
    </row>
    <row r="15" spans="1:6" ht="16.5">
      <c r="A15" s="517" t="str">
        <f>VLOOKUP("莉亞的日誌：第六篇", Data!$B:$D,F1, FALSE)</f>
        <v>莉亞的日誌：第六篇</v>
      </c>
      <c r="B15" s="738"/>
      <c r="C15" s="738"/>
      <c r="D15" s="329" t="s">
        <v>2051</v>
      </c>
      <c r="E15" s="75"/>
      <c r="F15" s="75"/>
    </row>
    <row r="16" spans="1:6" ht="16.5">
      <c r="A16" s="517" t="str">
        <f>VLOOKUP("莉亞的日誌：第七篇", Data!$B:$D,F1, FALSE)</f>
        <v>莉亞的日誌：第七篇</v>
      </c>
      <c r="B16" s="739"/>
      <c r="C16" s="739"/>
      <c r="D16" s="329" t="s">
        <v>2052</v>
      </c>
      <c r="E16" s="75"/>
      <c r="F16" s="75"/>
    </row>
    <row r="17" spans="1:6" ht="16.5">
      <c r="A17" s="517" t="str">
        <f>VLOOKUP("李奧瑞克的日誌：第一篇", Data!$B:$D,F1, FALSE)</f>
        <v>李奧瑞克的日誌：第一篇</v>
      </c>
      <c r="B17" s="752" t="str">
        <f>VLOOKUP("大教堂第四層-王室墓穴", Data!$B:$D,F1, FALSE)
&amp;CHAR(10)&amp;VLOOKUP("李奧瑞克宅邸", Data!$B:$D,F1, FALSE)</f>
        <v>大教堂第四層-王室墓穴
李奧瑞克宅邸</v>
      </c>
      <c r="C17" s="737" t="str">
        <f>VLOOKUP("抄寫台", Data!$B:$D,F1, FALSE)</f>
        <v>抄寫台</v>
      </c>
      <c r="D17" s="329" t="s">
        <v>2041</v>
      </c>
      <c r="E17" s="75"/>
      <c r="F17" s="75"/>
    </row>
    <row r="18" spans="1:6" ht="16.5">
      <c r="A18" s="517" t="str">
        <f>VLOOKUP("李奧瑞克的日誌：第二篇", Data!$B:$D,F1, FALSE)</f>
        <v>李奧瑞克的日誌：第二篇</v>
      </c>
      <c r="B18" s="752"/>
      <c r="C18" s="739"/>
      <c r="D18" s="329" t="s">
        <v>2042</v>
      </c>
      <c r="E18" s="75"/>
      <c r="F18" s="75"/>
    </row>
    <row r="19" spans="1:6" ht="16.5">
      <c r="A19" s="519" t="str">
        <f>VLOOKUP("李奧瑞克的日誌：第三篇", Data!$B:$D,F1, FALSE)</f>
        <v>李奧瑞克的日誌：第三篇</v>
      </c>
      <c r="B19" s="752" t="str">
        <f>VLOOKUP("苦痛刑牢", Data!$B:$D,F1, FALSE)</f>
        <v>苦痛刑牢</v>
      </c>
      <c r="C19" s="737" t="str">
        <f>VLOOKUP("講台/發霉的講台", Data!$B:$D,F1, FALSE)</f>
        <v>講台/發霉的講台</v>
      </c>
      <c r="D19" s="329" t="s">
        <v>2053</v>
      </c>
      <c r="E19" s="75"/>
      <c r="F19" s="75"/>
    </row>
    <row r="20" spans="1:6" ht="16.5">
      <c r="A20" s="519" t="str">
        <f>VLOOKUP("李奧瑞克的日誌：第四篇", Data!$B:$D,F1, FALSE)</f>
        <v>李奧瑞克的日誌：第四篇</v>
      </c>
      <c r="B20" s="752"/>
      <c r="C20" s="738"/>
      <c r="D20" s="329" t="s">
        <v>2054</v>
      </c>
      <c r="E20" s="75"/>
      <c r="F20" s="75"/>
    </row>
    <row r="21" spans="1:6" ht="16.5">
      <c r="A21" s="519" t="str">
        <f>VLOOKUP("李奧瑞克的日誌：第五篇", Data!$B:$D,F1, FALSE)</f>
        <v>李奧瑞克的日誌：第五篇</v>
      </c>
      <c r="B21" s="752"/>
      <c r="C21" s="739"/>
      <c r="D21" s="329" t="s">
        <v>2055</v>
      </c>
      <c r="E21" s="75"/>
      <c r="F21" s="75"/>
    </row>
    <row r="22" spans="1:6" ht="16.5">
      <c r="A22" s="519" t="str">
        <f>VLOOKUP("農夫的日誌", Data!$B:$D,F1, FALSE)</f>
        <v>農夫的日誌</v>
      </c>
      <c r="B22" s="81" t="str">
        <f>VLOOKUP("悲慘之原-避難小屋", Data!$B:$D,F1, FALSE)</f>
        <v>悲慘之原-避難小屋</v>
      </c>
      <c r="C22" s="326" t="str">
        <f>VLOOKUP("斯維卡德的屍體", Data!$B:$D,F1, FALSE)</f>
        <v>斯維卡德的屍體</v>
      </c>
      <c r="D22" s="329" t="s">
        <v>2056</v>
      </c>
      <c r="E22" s="75"/>
      <c r="F22" s="75"/>
    </row>
    <row r="23" spans="1:6" ht="29">
      <c r="A23" s="519" t="str">
        <f>VLOOKUP("防禦者塔力克的劍鞘", Data!$B:$D,F1, FALSE)</f>
        <v>防禦者塔力克的劍鞘</v>
      </c>
      <c r="B23" s="330" t="str">
        <f>VLOOKUP("南部高地-瞭望塔第二層", Data!$B:$D,F1, FALSE)</f>
        <v>南部高地-瞭望塔第二層</v>
      </c>
      <c r="C23" s="326" t="str">
        <f>VLOOKUP("護甲鍛造師凡戴爾", Data!$B:$D,F1, FALSE)</f>
        <v>護甲鍛造師凡戴爾</v>
      </c>
      <c r="D23" s="329" t="s">
        <v>2058</v>
      </c>
      <c r="E23" s="75"/>
      <c r="F23" s="75"/>
    </row>
    <row r="24" spans="1:6" ht="16.5">
      <c r="A24" s="519" t="str">
        <f>VLOOKUP("迪卡·凱恩的日誌：第一篇", Data!$B:$D,F1, FALSE)</f>
        <v>迪卡·凱恩的日誌：第一篇</v>
      </c>
      <c r="B24" s="737" t="str">
        <f>VLOOKUP("新崔斯特姆-凱恩的房間", Data!$B:$D,F1, FALSE)</f>
        <v>新崔斯特姆-凱恩的房間</v>
      </c>
      <c r="C24" s="737" t="str">
        <f>VLOOKUP("迪卡·凱恩的日誌", Data!$B:$D,F1, FALSE)</f>
        <v>迪卡·凱恩的日誌</v>
      </c>
      <c r="D24" s="329" t="s">
        <v>2059</v>
      </c>
      <c r="E24" s="75"/>
      <c r="F24" s="75"/>
    </row>
    <row r="25" spans="1:6" ht="16.5">
      <c r="A25" s="519" t="str">
        <f>VLOOKUP("迪卡·凱恩的日誌：第二篇", Data!$B:$D,F1, FALSE)</f>
        <v>迪卡·凱恩的日誌：第二篇</v>
      </c>
      <c r="B25" s="739"/>
      <c r="C25" s="739"/>
      <c r="D25" s="329" t="s">
        <v>2060</v>
      </c>
      <c r="E25" s="75"/>
      <c r="F25" s="75"/>
    </row>
    <row r="26" spans="1:6" ht="16.5">
      <c r="A26" s="519" t="str">
        <f>VLOOKUP("阿德納的便條", Data!$B:$D,F1, FALSE)</f>
        <v>阿德納的便條</v>
      </c>
      <c r="B26" s="81" t="str">
        <f>VLOOKUP("悲慘之原-古董之家", Data!$B:$D,F1, FALSE)</f>
        <v>悲慘之原-古董之家</v>
      </c>
      <c r="C26" s="326" t="str">
        <f>VLOOKUP("阿德納的便條", Data!$B:$D,F1, FALSE)</f>
        <v>阿德納的便條</v>
      </c>
      <c r="D26" s="329" t="s">
        <v>2061</v>
      </c>
      <c r="E26" s="75"/>
      <c r="F26" s="75"/>
    </row>
    <row r="27" spans="1:6" ht="16.5">
      <c r="A27" s="519" t="str">
        <f>VLOOKUP("隱士的瘋言瘋語", Data!$B:$D,F1, FALSE)</f>
        <v>隱士的瘋言瘋語</v>
      </c>
      <c r="B27" s="325" t="str">
        <f>VLOOKUP("艾瑞妮洞窟", Data!$B:$D,F1, FALSE)</f>
        <v>艾瑞妮洞窟</v>
      </c>
      <c r="C27" s="326" t="str">
        <f>VLOOKUP("滿是灰塵的袋子", Data!$B:$D,F1, FALSE)</f>
        <v>滿是灰塵的袋子</v>
      </c>
      <c r="D27" s="329" t="s">
        <v>2063</v>
      </c>
      <c r="E27" s="75"/>
      <c r="F27" s="75"/>
    </row>
    <row r="28" spans="1:6" ht="16.5">
      <c r="A28" s="519" t="str">
        <f>VLOOKUP("艾希菈王后的日誌", Data!$B:$D,F1, FALSE)</f>
        <v>艾希菈王后的日誌</v>
      </c>
      <c r="B28" s="326" t="str">
        <f>VLOOKUP("詛咒監牢", Data!$B:$D,F1, FALSE)</f>
        <v>詛咒監牢</v>
      </c>
      <c r="C28" s="326" t="str">
        <f>VLOOKUP("箱子", Data!$B:$D,F1, FALSE)</f>
        <v>箱子</v>
      </c>
      <c r="D28" s="329" t="s">
        <v>2065</v>
      </c>
      <c r="E28" s="75"/>
      <c r="F28" s="75"/>
    </row>
    <row r="29" spans="1:6" ht="16.5">
      <c r="A29" s="519" t="str">
        <f>VLOOKUP("盜賊的日誌", Data!$B:$D,F1, FALSE)</f>
        <v>盜賊的日誌</v>
      </c>
      <c r="B29" s="326" t="str">
        <f>VLOOKUP("悲慘之原", Data!$B:$D,F1, FALSE)</f>
        <v>悲慘之原</v>
      </c>
      <c r="C29" s="326" t="str">
        <f>VLOOKUP("被偷走的袋子", Data!$B:$D,F1, FALSE)</f>
        <v>被偷走的袋子</v>
      </c>
      <c r="D29" s="329" t="s">
        <v>2067</v>
      </c>
      <c r="E29" s="75"/>
      <c r="F29" s="75"/>
    </row>
    <row r="30" spans="1:6" ht="16.5">
      <c r="A30" s="519" t="str">
        <f>VLOOKUP("國王港告示", Data!$B:$D,F1, FALSE)</f>
        <v>國王港告示</v>
      </c>
      <c r="B30" s="326" t="str">
        <f>VLOOKUP("新崔斯特姆", Data!$B:$D,F1, FALSE)</f>
        <v>新崔斯特姆</v>
      </c>
      <c r="C30" s="326" t="str">
        <f>VLOOKUP("盜賊林登", Data!$B:$D,F1, FALSE)</f>
        <v>盜賊林登</v>
      </c>
      <c r="D30" s="329" t="s">
        <v>2069</v>
      </c>
      <c r="E30" s="75"/>
      <c r="F30" s="75"/>
    </row>
    <row r="31" spans="1:6" ht="16.5">
      <c r="A31" s="519" t="str">
        <f>VLOOKUP("骷髏王", Data!$B:$D,F1, FALSE)</f>
        <v>骷髏王</v>
      </c>
      <c r="B31" s="326" t="str">
        <f>VLOOKUP("大教堂第四層-王室墓穴", Data!$B:$D,F1, FALSE)</f>
        <v>大教堂第四層-王室墓穴</v>
      </c>
      <c r="C31" s="326" t="str">
        <f>VLOOKUP("李奧瑞克王", Data!$B:$D,F1, FALSE)</f>
        <v>李奧瑞克王</v>
      </c>
      <c r="D31" s="329" t="s">
        <v>2071</v>
      </c>
      <c r="E31" s="75"/>
      <c r="F31" s="75"/>
    </row>
    <row r="32" spans="1:6" ht="16.5">
      <c r="A32" s="519" t="str">
        <f>VLOOKUP("流浪工匠的日誌", Data!$B:$D,F1, FALSE)</f>
        <v>流浪工匠的日誌</v>
      </c>
      <c r="B32" s="326" t="str">
        <f>VLOOKUP("悲慘之原-避難小屋", Data!$B:$D,F1, FALSE)</f>
        <v>悲慘之原-避難小屋</v>
      </c>
      <c r="C32" s="326" t="str">
        <f>VLOOKUP("工匠的物品", Data!$B:$D,F1, FALSE)</f>
        <v>工匠的物品</v>
      </c>
      <c r="D32" s="329" t="s">
        <v>2073</v>
      </c>
      <c r="E32" s="75"/>
      <c r="F32" s="75"/>
    </row>
    <row r="33" spans="1:6" ht="16.5">
      <c r="A33" s="519" t="str">
        <f>VLOOKUP("先知巫瑞克的筆記：第一篇", Data!$B:$D,F1, FALSE)</f>
        <v>先知巫瑞克的筆記：第一篇</v>
      </c>
      <c r="B33" s="737" t="str">
        <f>VLOOKUP("南部高地-月族洞穴", Data!$B:$D,F1, FALSE)</f>
        <v>南部高地-月族洞穴</v>
      </c>
      <c r="C33" s="737" t="str">
        <f>VLOOKUP("巫瑞克的背袋", Data!$B:$D,F1, FALSE)</f>
        <v>巫瑞克的背袋</v>
      </c>
      <c r="D33" s="737" t="s">
        <v>2075</v>
      </c>
      <c r="E33" s="75"/>
      <c r="F33" s="75"/>
    </row>
    <row r="34" spans="1:6" ht="16.5">
      <c r="A34" s="519" t="str">
        <f>VLOOKUP("先知巫瑞克的筆記：第二篇", Data!$B:$D,F1, FALSE)</f>
        <v>先知巫瑞克的筆記：第二篇</v>
      </c>
      <c r="B34" s="738"/>
      <c r="C34" s="738"/>
      <c r="D34" s="738"/>
      <c r="E34" s="75"/>
      <c r="F34" s="75"/>
    </row>
    <row r="35" spans="1:6" ht="16.5">
      <c r="A35" s="519" t="str">
        <f>VLOOKUP("先知巫瑞克的筆記：第三篇", Data!$B:$D,F1, FALSE)</f>
        <v>先知巫瑞克的筆記：第三篇</v>
      </c>
      <c r="B35" s="739"/>
      <c r="C35" s="739"/>
      <c r="D35" s="739"/>
      <c r="E35" s="75"/>
      <c r="F35" s="75"/>
    </row>
    <row r="36" spans="1:6" ht="16.5">
      <c r="A36" s="519" t="str">
        <f>VLOOKUP("祭司的靜思：第一篇", Data!$B:$D,F1, FALSE)</f>
        <v>祭司的靜思：第一篇</v>
      </c>
      <c r="B36" s="737" t="str">
        <f>VLOOKUP("沃薩姆村", Data!$B:$D,F1, FALSE)</f>
        <v>沃薩姆村</v>
      </c>
      <c r="C36" s="737" t="str">
        <f>VLOOKUP("牧師的背袋", Data!$B:$D,F1, FALSE)</f>
        <v>牧師的背袋</v>
      </c>
      <c r="D36" s="737" t="s">
        <v>2077</v>
      </c>
      <c r="E36" s="75"/>
      <c r="F36" s="75"/>
    </row>
    <row r="37" spans="1:6" ht="16.5">
      <c r="A37" s="519" t="str">
        <f>VLOOKUP("祭司的靜思：第二篇", Data!$B:$D,F1, FALSE)</f>
        <v>祭司的靜思：第二篇</v>
      </c>
      <c r="B37" s="739"/>
      <c r="C37" s="739"/>
      <c r="D37" s="739"/>
      <c r="E37" s="75"/>
      <c r="F37" s="75"/>
    </row>
    <row r="38" spans="1:6" ht="16.5">
      <c r="A38" s="519" t="str">
        <f>VLOOKUP("米菈寫給海德格的信", Data!$B:$D,F1, FALSE)</f>
        <v>米菈寫給海德格的信</v>
      </c>
      <c r="B38" s="326" t="str">
        <f>VLOOKUP("新崔斯特姆", Data!$B:$D,F1, FALSE)</f>
        <v>新崔斯特姆</v>
      </c>
      <c r="C38" s="326" t="str">
        <f>VLOOKUP("鐵匠的私人物品", Data!$B:$D,F1, FALSE)</f>
        <v>鐵匠的私人物品</v>
      </c>
      <c r="D38" s="329" t="s">
        <v>2564</v>
      </c>
      <c r="E38" s="75"/>
      <c r="F38" s="75"/>
    </row>
    <row r="39" spans="1:6" ht="16.5">
      <c r="A39" s="519" t="str">
        <f>VLOOKUP("凯恩的旧日志一", Data!$B:$D,F1, FALSE)</f>
        <v>凯恩的旧日志一</v>
      </c>
      <c r="B39" s="737" t="str">
        <f>VLOOKUP("舊鎮廢墟", Data!$B:$D,F1, FALSE)
&amp;CHAR(10)&amp;VLOOKUP("舊鎮道路", Data!$B:$D,F1, FALSE)</f>
        <v>舊鎮廢墟
舊鎮道路</v>
      </c>
      <c r="C39" s="737" t="str">
        <f>VLOOKUP("老舊紀念品箱", Data!$B:$D,F1, FALSE)</f>
        <v>老舊紀念品箱</v>
      </c>
      <c r="D39" s="737" t="s">
        <v>2239</v>
      </c>
      <c r="E39" s="75"/>
      <c r="F39" s="75"/>
    </row>
    <row r="40" spans="1:6" ht="16.5">
      <c r="A40" s="519" t="str">
        <f>VLOOKUP("凯恩的旧日志二", Data!$B:$D,F1, FALSE)</f>
        <v>凯恩的旧日志二</v>
      </c>
      <c r="B40" s="738"/>
      <c r="C40" s="738"/>
      <c r="D40" s="738"/>
      <c r="E40" s="75"/>
      <c r="F40" s="75"/>
    </row>
    <row r="41" spans="1:6" ht="16.5">
      <c r="A41" s="519" t="str">
        <f>VLOOKUP("凯恩的旧日志三", Data!$B:$D,F1, FALSE)</f>
        <v>凯恩的旧日志三</v>
      </c>
      <c r="B41" s="738"/>
      <c r="C41" s="738"/>
      <c r="D41" s="738"/>
      <c r="E41" s="75"/>
      <c r="F41" s="75"/>
    </row>
    <row r="42" spans="1:6" ht="16.5">
      <c r="A42" s="519" t="str">
        <f>VLOOKUP("凯恩的旧日志四", Data!$B:$D,F1, FALSE)</f>
        <v>凯恩的旧日志四</v>
      </c>
      <c r="B42" s="738"/>
      <c r="C42" s="738"/>
      <c r="D42" s="738"/>
      <c r="E42" s="75"/>
      <c r="F42" s="75"/>
    </row>
    <row r="43" spans="1:6" ht="16.5">
      <c r="A43" s="519" t="str">
        <f>VLOOKUP("遺失的日誌", Data!$B:$D,F1, FALSE)</f>
        <v>遺失的日誌</v>
      </c>
      <c r="B43" s="738"/>
      <c r="C43" s="738"/>
      <c r="D43" s="738"/>
      <c r="E43" s="75"/>
      <c r="F43" s="75"/>
    </row>
    <row r="44" spans="1:6" ht="16.5">
      <c r="A44" s="519" t="str">
        <f>VLOOKUP("旧日记", Data!$B:$D,F1, FALSE)</f>
        <v>旧日记</v>
      </c>
      <c r="B44" s="738"/>
      <c r="C44" s="738"/>
      <c r="D44" s="738"/>
      <c r="E44" s="75"/>
      <c r="F44" s="75"/>
    </row>
    <row r="45" spans="1:6" ht="17" thickBot="1">
      <c r="A45" s="520" t="str">
        <f>VLOOKUP("黛絲賓娜的日誌", Data!$B:$D,F1, FALSE)</f>
        <v>黛絲賓娜的日誌</v>
      </c>
      <c r="B45" s="739"/>
      <c r="C45" s="739"/>
      <c r="D45" s="739"/>
      <c r="E45" s="75"/>
      <c r="F45" s="75"/>
    </row>
    <row r="46" spans="1:6" ht="15.5" thickBot="1">
      <c r="A46" s="521"/>
      <c r="B46" s="170"/>
      <c r="C46" s="169"/>
      <c r="D46" s="169"/>
    </row>
    <row r="47" spans="1:6" ht="21.5" thickBot="1">
      <c r="A47" s="734" t="str">
        <f>VLOOKUP("做好筆記", Data!$B:$D,F1, FALSE)</f>
        <v>做好筆記</v>
      </c>
      <c r="B47" s="735"/>
      <c r="C47" s="735"/>
      <c r="D47" s="736"/>
    </row>
    <row r="48" spans="1:6" s="1" customFormat="1">
      <c r="A48" s="490" t="s">
        <v>2293</v>
      </c>
      <c r="B48" s="491" t="s">
        <v>2290</v>
      </c>
      <c r="C48" s="492" t="s">
        <v>2291</v>
      </c>
      <c r="D48" s="493" t="s">
        <v>2292</v>
      </c>
    </row>
    <row r="49" spans="1:4">
      <c r="A49" s="517" t="str">
        <f>VLOOKUP("來自沃薩姆的報告", Data!$B:$D,F1, FALSE)</f>
        <v>來自沃薩姆的報告</v>
      </c>
      <c r="B49" s="326" t="str">
        <f>VLOOKUP("北部高地", Data!$B:$D,F1, FALSE)</f>
        <v>北部高地</v>
      </c>
      <c r="C49" s="326" t="str">
        <f>VLOOKUP("沃薩姆居民的屍體", Data!$B:$D,F1, FALSE)</f>
        <v>沃薩姆居民的屍體</v>
      </c>
      <c r="D49" s="327" t="s">
        <v>2081</v>
      </c>
    </row>
    <row r="50" spans="1:4">
      <c r="A50" s="517" t="str">
        <f>VLOOKUP("邪教大審判官的指令", Data!$B:$D,F1, FALSE)</f>
        <v>邪教大審判官的指令</v>
      </c>
      <c r="B50" s="737" t="str">
        <f>VLOOKUP("苦痛刑牢", Data!$B:$D,F1, FALSE)</f>
        <v>苦痛刑牢</v>
      </c>
      <c r="C50" s="737" t="str">
        <f>VLOOKUP("發霉的講臺", Data!$B:$D,F1, FALSE)</f>
        <v>發霉的講臺</v>
      </c>
      <c r="D50" s="327" t="s">
        <v>2083</v>
      </c>
    </row>
    <row r="51" spans="1:4">
      <c r="A51" s="517" t="str">
        <f>VLOOKUP("邪教大審判官的回覆", Data!$B:$D,F1, FALSE)</f>
        <v>邪教大審判官的回覆</v>
      </c>
      <c r="B51" s="739"/>
      <c r="C51" s="739"/>
      <c r="D51" s="327" t="s">
        <v>2084</v>
      </c>
    </row>
    <row r="52" spans="1:4">
      <c r="A52" s="517" t="str">
        <f>VLOOKUP("拉薩雷茲摩典的書頁", Data!$B:$D,F1, FALSE)</f>
        <v>拉薩雷茲摩典的書頁</v>
      </c>
      <c r="B52" s="326" t="str">
        <f>VLOOKUP("詛咒監牢", Data!$B:$D,F1, FALSE)</f>
        <v>詛咒監牢</v>
      </c>
      <c r="C52" s="326"/>
      <c r="D52" s="327" t="s">
        <v>2085</v>
      </c>
    </row>
    <row r="53" spans="1:4">
      <c r="A53" s="517" t="str">
        <f>VLOOKUP("瑪格妲的命令", Data!$B:$D,F1, FALSE)</f>
        <v>瑪格妲的命令</v>
      </c>
      <c r="B53" s="326" t="str">
        <f>VLOOKUP("李奧瑞克宅邸", Data!$B:$D,F1, FALSE)</f>
        <v>李奧瑞克宅邸</v>
      </c>
      <c r="C53" s="326" t="str">
        <f>VLOOKUP("黑暗教徒", Data!$B:$D,F1, FALSE)</f>
        <v>黑暗教徒</v>
      </c>
      <c r="D53" s="327" t="s">
        <v>2240</v>
      </c>
    </row>
    <row r="54" spans="1:4" ht="30" customHeight="1">
      <c r="A54" s="517" t="str">
        <f>VLOOKUP("村民的日誌", Data!$B:$D,F1, FALSE)</f>
        <v>村民的日誌</v>
      </c>
      <c r="B54" s="326" t="str">
        <f>VLOOKUP("舊鎮廢墟", Data!$B:$D,F1, FALSE)
&amp;CHAR(10)&amp;VLOOKUP("舊鎮道路", Data!$B:$D,F1, FALSE)</f>
        <v>舊鎮廢墟
舊鎮道路</v>
      </c>
      <c r="C54" s="326" t="str">
        <f>VLOOKUP("老舊紀念品箱", Data!$B:$D,F1, FALSE)</f>
        <v>老舊紀念品箱</v>
      </c>
      <c r="D54" s="327" t="s">
        <v>2063</v>
      </c>
    </row>
    <row r="55" spans="1:4">
      <c r="A55" s="517" t="str">
        <f>VLOOKUP("召喚者的日誌", Data!$B:$D,F1, FALSE)</f>
        <v>召喚者的日誌</v>
      </c>
      <c r="B55" s="326" t="str">
        <f>VLOOKUP("南部高地", Data!$B:$D,F1, FALSE)</f>
        <v>南部高地</v>
      </c>
      <c r="C55" s="326" t="str">
        <f>VLOOKUP("召喚者", Data!$B:$D,F1, FALSE)</f>
        <v>召喚者</v>
      </c>
      <c r="D55" s="327" t="s">
        <v>2087</v>
      </c>
    </row>
    <row r="56" spans="1:4" ht="15.5" thickBot="1">
      <c r="A56" s="521"/>
      <c r="B56" s="170"/>
      <c r="C56" s="169"/>
      <c r="D56" s="169"/>
    </row>
    <row r="57" spans="1:4" ht="21.5" thickBot="1">
      <c r="A57" s="734" t="str">
        <f>VLOOKUP("崔斯特姆史學家", Data!$B:$D,F1, FALSE)</f>
        <v>崔斯特姆史學家</v>
      </c>
      <c r="B57" s="735"/>
      <c r="C57" s="735"/>
      <c r="D57" s="736"/>
    </row>
    <row r="58" spans="1:4" s="1" customFormat="1">
      <c r="A58" s="490" t="s">
        <v>2293</v>
      </c>
      <c r="B58" s="491" t="s">
        <v>2290</v>
      </c>
      <c r="C58" s="492" t="s">
        <v>2291</v>
      </c>
      <c r="D58" s="493" t="s">
        <v>2292</v>
      </c>
    </row>
    <row r="59" spans="1:4">
      <c r="A59" s="522" t="str">
        <f>VLOOKUP("吊人樹", Data!$B:$D,F1, FALSE)</f>
        <v>吊人樹</v>
      </c>
      <c r="B59" s="326" t="str">
        <f>VLOOKUP("悲泣荒原", Data!$B:$D,F1, FALSE)</f>
        <v>悲泣荒原</v>
      </c>
      <c r="C59" s="326"/>
      <c r="D59" s="329" t="s">
        <v>2088</v>
      </c>
    </row>
    <row r="60" spans="1:4">
      <c r="A60" s="522" t="str">
        <f>VLOOKUP("掘墓者的日誌", Data!$B:$D,F1, FALSE)</f>
        <v>掘墓者的日誌</v>
      </c>
      <c r="B60" s="326" t="str">
        <f>VLOOKUP("荒棄墓園", Data!$B:$D,F1, FALSE)</f>
        <v>荒棄墓園</v>
      </c>
      <c r="C60" s="326" t="str">
        <f>VLOOKUP("掘墓者的骸骨", Data!$B:$D,F1, FALSE)</f>
        <v>掘墓者的骸骨</v>
      </c>
      <c r="D60" s="329" t="s">
        <v>2063</v>
      </c>
    </row>
    <row r="61" spans="1:4">
      <c r="A61" s="522" t="str">
        <f>VLOOKUP("崔斯特姆原野", Data!$B:$D,F1, FALSE)</f>
        <v>崔斯特姆原野</v>
      </c>
      <c r="B61" s="326" t="str">
        <f>VLOOKUP("悲慘之原", Data!$B:$D,F1, FALSE)</f>
        <v>悲慘之原</v>
      </c>
      <c r="C61" s="326" t="str">
        <f>VLOOKUP("死亡的旅行者", Data!$B:$D,F1, FALSE)</f>
        <v>死亡的旅行者</v>
      </c>
      <c r="D61" s="329" t="s">
        <v>2063</v>
      </c>
    </row>
    <row r="62" spans="1:4">
      <c r="A62" s="522" t="str">
        <f>VLOOKUP("卡茲拉首級通緝令", Data!$B:$D,F1, FALSE)</f>
        <v>卡茲拉首級通緝令</v>
      </c>
      <c r="B62" s="737" t="str">
        <f>VLOOKUP("南部高地", Data!$B:$D,F1, FALSE)&amp;"、"&amp;VLOOKUP("北部高地", Data!$B:$D,F1, FALSE)</f>
        <v>南部高地、北部高地</v>
      </c>
      <c r="C62" s="737" t="str">
        <f>VLOOKUP("腐爛的屍體", Data!$B:$D,F1, FALSE)</f>
        <v>腐爛的屍體</v>
      </c>
      <c r="D62" s="737" t="s">
        <v>2063</v>
      </c>
    </row>
    <row r="63" spans="1:4">
      <c r="A63" s="522" t="str">
        <f>VLOOKUP("研究卡茲拉", Data!$B:$D,F1, FALSE)</f>
        <v>研究卡茲拉</v>
      </c>
      <c r="B63" s="738"/>
      <c r="C63" s="738"/>
      <c r="D63" s="738"/>
    </row>
    <row r="64" spans="1:4">
      <c r="A64" s="522" t="str">
        <f>VLOOKUP("卡茲拉大屠殺", Data!$B:$D,F1, FALSE)</f>
        <v>卡茲拉大屠殺</v>
      </c>
      <c r="B64" s="739"/>
      <c r="C64" s="739"/>
      <c r="D64" s="739"/>
    </row>
    <row r="65" spans="1:4">
      <c r="A65" s="522" t="str">
        <f>VLOOKUP("高地", Data!$B:$D,F1, FALSE)</f>
        <v>高地</v>
      </c>
      <c r="B65" s="326" t="str">
        <f>VLOOKUP("南部高地", Data!$B:$D,F1, FALSE)</f>
        <v>南部高地</v>
      </c>
      <c r="C65" s="326" t="str">
        <f>VLOOKUP("遺失的箱子", Data!$B:$D,F1, FALSE)</f>
        <v>遺失的箱子</v>
      </c>
      <c r="D65" s="329" t="s">
        <v>2063</v>
      </c>
    </row>
    <row r="66" spans="1:4">
      <c r="A66" s="522" t="str">
        <f>VLOOKUP("破舊信柬", Data!$B:$D,F1, FALSE)</f>
        <v>破舊信柬</v>
      </c>
      <c r="B66" s="737" t="str">
        <f>VLOOKUP("艾瑞妮洞窟", Data!$B:$D,F1, FALSE)</f>
        <v>艾瑞妮洞窟</v>
      </c>
      <c r="C66" s="737" t="str">
        <f>VLOOKUP("滿是灰塵的袋子", Data!$B:$D,F1, FALSE)</f>
        <v>滿是灰塵的袋子</v>
      </c>
      <c r="D66" s="329" t="s">
        <v>2404</v>
      </c>
    </row>
    <row r="67" spans="1:4">
      <c r="A67" s="522" t="str">
        <f>VLOOKUP("破舊信柬的後續回應", Data!$B:$D,F1, FALSE)</f>
        <v>破舊信柬的後續回應</v>
      </c>
      <c r="B67" s="739"/>
      <c r="C67" s="739"/>
      <c r="D67" s="329" t="s">
        <v>2093</v>
      </c>
    </row>
    <row r="68" spans="1:4">
      <c r="A68" s="522" t="str">
        <f>VLOOKUP("新崔斯特姆", Data!$B:$D,F1, FALSE)</f>
        <v>新崔斯特姆</v>
      </c>
      <c r="B68" s="330" t="str">
        <f>VLOOKUP("新崔斯特姆-屠牛旅店", Data!$B:$D,F1, FALSE)</f>
        <v>新崔斯特姆-屠牛旅店</v>
      </c>
      <c r="C68" s="326" t="str">
        <f>VLOOKUP("新崔斯特姆的歷史", Data!$B:$D,F1, FALSE)</f>
        <v>新崔斯特姆的歷史</v>
      </c>
      <c r="D68" s="329" t="s">
        <v>2095</v>
      </c>
    </row>
    <row r="69" spans="1:4">
      <c r="A69" s="522" t="str">
        <f>VLOOKUP("旅人日誌", Data!$B:$D,F1, FALSE)</f>
        <v>旅人日誌</v>
      </c>
      <c r="B69" s="326" t="str">
        <f>VLOOKUP("舊鎮道路", Data!$B:$D,F1, FALSE)</f>
        <v>舊鎮道路</v>
      </c>
      <c r="C69" s="326" t="str">
        <f>VLOOKUP("冒險者屍體", Data!$B:$D,F1, FALSE)</f>
        <v>冒險者屍體</v>
      </c>
      <c r="D69" s="329" t="s">
        <v>2097</v>
      </c>
    </row>
    <row r="70" spans="1:4">
      <c r="A70" s="523" t="str">
        <f>VLOOKUP("瓦瑞夫的日誌", Data!$B:$D,F1, FALSE)</f>
        <v>瓦瑞夫的日誌</v>
      </c>
      <c r="B70" s="331" t="str">
        <f>VLOOKUP("舊鎮道路", Data!$B:$D,F1, FALSE)</f>
        <v>舊鎮道路</v>
      </c>
      <c r="C70" s="331" t="str">
        <f>VLOOKUP("瓦瑞夫屍體", Data!$B:$D,F1, FALSE)</f>
        <v>瓦瑞夫屍體</v>
      </c>
      <c r="D70" s="332" t="s">
        <v>2099</v>
      </c>
    </row>
    <row r="71" spans="1:4">
      <c r="A71" s="523" t="str">
        <f>VLOOKUP("盜墓賊日誌", Data!$B:$D,F1, FALSE)</f>
        <v>盜墓賊日誌</v>
      </c>
      <c r="B71" s="330" t="str">
        <f>VLOOKUP("腐潰之林-先祖墓穴", Data!$B:$D,F1, FALSE)</f>
        <v>腐潰之林-先祖墓穴</v>
      </c>
      <c r="C71" s="331" t="str">
        <f>VLOOKUP("盜墓賊屍體", Data!$B:$D,F1, FALSE)</f>
        <v>盜墓賊屍體</v>
      </c>
      <c r="D71" s="332" t="s">
        <v>2101</v>
      </c>
    </row>
    <row r="72" spans="1:4">
      <c r="A72" s="523" t="str">
        <f>VLOOKUP("先祖的最後一戰", Data!$B:$D,F1, FALSE)</f>
        <v>先祖的最後一戰</v>
      </c>
      <c r="B72" s="331" t="str">
        <f>VLOOKUP("腐潰之林-先祖墓穴", Data!$B:$D,F1, FALSE)</f>
        <v>腐潰之林-先祖墓穴</v>
      </c>
      <c r="C72" s="331"/>
      <c r="D72" s="332" t="s">
        <v>2102</v>
      </c>
    </row>
    <row r="73" spans="1:4">
      <c r="A73" s="523" t="str">
        <f>VLOOKUP("沉沒神殿", Data!$B:$D,F1, FALSE)</f>
        <v>沉沒神殿</v>
      </c>
      <c r="B73" s="326" t="str">
        <f>VLOOKUP("沉沒神殿", Data!$B:$D,F1, FALSE)</f>
        <v>沉沒神殿</v>
      </c>
      <c r="C73" s="331" t="str">
        <f>VLOOKUP("古老的骸骨", Data!$B:$D,F1, FALSE)</f>
        <v>古老的骸骨</v>
      </c>
      <c r="D73" s="332" t="s">
        <v>2104</v>
      </c>
    </row>
    <row r="74" spans="1:4">
      <c r="A74" s="523" t="str">
        <f>VLOOKUP("勇士之陵", Data!$B:$D,F1, FALSE)</f>
        <v>勇士之陵</v>
      </c>
      <c r="B74" s="330" t="str">
        <f>VLOOKUP("腐潰之林-勇士之陵", Data!$B:$D,F1, FALSE)</f>
        <v>腐潰之林-勇士之陵</v>
      </c>
      <c r="C74" s="331" t="str">
        <f>VLOOKUP("古老的骷髏", Data!$B:$D,F1, FALSE)</f>
        <v>古老的骷髏</v>
      </c>
      <c r="D74" s="332" t="s">
        <v>2104</v>
      </c>
    </row>
    <row r="75" spans="1:4" ht="30" customHeight="1" thickBot="1">
      <c r="A75" s="520" t="str">
        <f>VLOOKUP("舊崔斯特姆日誌", Data!$B:$D,F1, FALSE)</f>
        <v>舊崔斯特姆日誌</v>
      </c>
      <c r="B75" s="333" t="str">
        <f>VLOOKUP("舊鎮廢墟", Data!$B:$D,F1, FALSE)
&amp;CHAR(10)&amp;VLOOKUP("舊鎮道路", Data!$B:$D,F1, FALSE)</f>
        <v>舊鎮廢墟
舊鎮道路</v>
      </c>
      <c r="C75" s="333" t="str">
        <f>VLOOKUP("老舊紀念品箱", Data!$B:$D,F1, FALSE)</f>
        <v>老舊紀念品箱</v>
      </c>
      <c r="D75" s="334" t="s">
        <v>2063</v>
      </c>
    </row>
    <row r="76" spans="1:4" ht="15.5" thickBot="1">
      <c r="A76" s="524"/>
      <c r="B76" s="172"/>
      <c r="C76" s="171"/>
      <c r="D76" s="171"/>
    </row>
    <row r="77" spans="1:4" ht="15.5" thickBot="1">
      <c r="A77" s="743" t="s">
        <v>538</v>
      </c>
      <c r="B77" s="744"/>
      <c r="C77" s="744"/>
      <c r="D77" s="745"/>
    </row>
    <row r="78" spans="1:4">
      <c r="A78" s="746" t="s">
        <v>539</v>
      </c>
      <c r="B78" s="747"/>
      <c r="C78" s="747"/>
      <c r="D78" s="748"/>
    </row>
    <row r="79" spans="1:4">
      <c r="A79" s="746" t="s">
        <v>540</v>
      </c>
      <c r="B79" s="747"/>
      <c r="C79" s="747"/>
      <c r="D79" s="748"/>
    </row>
    <row r="80" spans="1:4">
      <c r="A80" s="746" t="s">
        <v>541</v>
      </c>
      <c r="B80" s="747"/>
      <c r="C80" s="747"/>
      <c r="D80" s="748"/>
    </row>
    <row r="81" spans="1:4">
      <c r="A81" s="746" t="s">
        <v>542</v>
      </c>
      <c r="B81" s="747"/>
      <c r="C81" s="747"/>
      <c r="D81" s="748"/>
    </row>
    <row r="82" spans="1:4">
      <c r="A82" s="746" t="s">
        <v>543</v>
      </c>
      <c r="B82" s="747"/>
      <c r="C82" s="747"/>
      <c r="D82" s="748"/>
    </row>
    <row r="83" spans="1:4">
      <c r="A83" s="746" t="s">
        <v>2106</v>
      </c>
      <c r="B83" s="747"/>
      <c r="C83" s="747"/>
      <c r="D83" s="748"/>
    </row>
    <row r="84" spans="1:4" ht="15.5" thickBot="1">
      <c r="A84" s="740" t="s">
        <v>2107</v>
      </c>
      <c r="B84" s="741"/>
      <c r="C84" s="741"/>
      <c r="D84" s="742"/>
    </row>
  </sheetData>
  <mergeCells count="37">
    <mergeCell ref="D36:D37"/>
    <mergeCell ref="B39:B45"/>
    <mergeCell ref="B50:B51"/>
    <mergeCell ref="D39:D45"/>
    <mergeCell ref="B17:B18"/>
    <mergeCell ref="C39:C45"/>
    <mergeCell ref="A47:D47"/>
    <mergeCell ref="B33:B35"/>
    <mergeCell ref="C33:C35"/>
    <mergeCell ref="D33:D35"/>
    <mergeCell ref="B36:B37"/>
    <mergeCell ref="C36:C37"/>
    <mergeCell ref="C50:C51"/>
    <mergeCell ref="A2:D2"/>
    <mergeCell ref="B24:B25"/>
    <mergeCell ref="C24:C25"/>
    <mergeCell ref="C5:C9"/>
    <mergeCell ref="B5:B9"/>
    <mergeCell ref="B10:B16"/>
    <mergeCell ref="C10:C16"/>
    <mergeCell ref="B19:B21"/>
    <mergeCell ref="C17:C18"/>
    <mergeCell ref="C19:C21"/>
    <mergeCell ref="A84:D84"/>
    <mergeCell ref="A77:D77"/>
    <mergeCell ref="A78:D78"/>
    <mergeCell ref="A79:D79"/>
    <mergeCell ref="A80:D80"/>
    <mergeCell ref="A81:D81"/>
    <mergeCell ref="A82:D82"/>
    <mergeCell ref="A83:D83"/>
    <mergeCell ref="A57:D57"/>
    <mergeCell ref="C62:C64"/>
    <mergeCell ref="D62:D64"/>
    <mergeCell ref="B66:B67"/>
    <mergeCell ref="C66:C67"/>
    <mergeCell ref="B62:B64"/>
  </mergeCells>
  <phoneticPr fontId="34" type="noConversion"/>
  <dataValidations count="1">
    <dataValidation type="list" allowBlank="1" showInputMessage="1" showErrorMessage="1" sqref="E1" xr:uid="{00000000-0002-0000-0700-000000000000}">
      <formula1>"繁體中文,简体中文"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"/>
  <sheetViews>
    <sheetView topLeftCell="A13" workbookViewId="0">
      <selection activeCell="D38" sqref="D38"/>
    </sheetView>
  </sheetViews>
  <sheetFormatPr defaultRowHeight="15"/>
  <cols>
    <col min="1" max="2" width="25.58203125" customWidth="1"/>
    <col min="3" max="3" width="15.58203125" customWidth="1"/>
    <col min="4" max="4" width="75.58203125" customWidth="1"/>
  </cols>
  <sheetData>
    <row r="1" spans="1:6" ht="17" thickBot="1">
      <c r="A1" s="73" t="s">
        <v>2023</v>
      </c>
      <c r="B1" s="168" t="s">
        <v>2207</v>
      </c>
      <c r="C1" s="75"/>
      <c r="D1" s="76" t="s">
        <v>2021</v>
      </c>
      <c r="E1" s="573" t="s">
        <v>6908</v>
      </c>
      <c r="F1" s="319">
        <f>VLOOKUP(E1,Data!$A:$B,2, FALSE)</f>
        <v>1</v>
      </c>
    </row>
    <row r="2" spans="1:6" ht="23" thickBot="1">
      <c r="A2" s="749" t="str">
        <f>VLOOKUP("明辨忠奸", Data!$B:$D,F1, FALSE)</f>
        <v>明辨忠奸</v>
      </c>
      <c r="B2" s="750"/>
      <c r="C2" s="750"/>
      <c r="D2" s="751"/>
      <c r="E2" s="75"/>
    </row>
    <row r="3" spans="1:6" ht="16.5">
      <c r="A3" s="490" t="s">
        <v>2289</v>
      </c>
      <c r="B3" s="491" t="s">
        <v>2290</v>
      </c>
      <c r="C3" s="492" t="s">
        <v>2291</v>
      </c>
      <c r="D3" s="493" t="s">
        <v>2292</v>
      </c>
      <c r="E3" s="73"/>
    </row>
    <row r="4" spans="1:6" ht="17.399999999999999" customHeight="1">
      <c r="A4" s="525" t="str">
        <f>VLOOKUP("福奧德的日誌", Data!$B:$D,F1, FALSE)</f>
        <v>福奧德的日誌</v>
      </c>
      <c r="B4" s="335" t="str">
        <f>VLOOKUP("嚎泣高原-福奥德的地窖", Data!$B:$D,F1, FALSE)</f>
        <v>嚎泣高原-福奥德的地窖</v>
      </c>
      <c r="C4" s="335" t="str">
        <f>VLOOKUP("吃人的福奥德", Data!$B:$D,F1, FALSE)</f>
        <v>吃人的福奥德</v>
      </c>
      <c r="D4" s="336" t="s">
        <v>2110</v>
      </c>
      <c r="E4" s="75"/>
    </row>
    <row r="5" spans="1:6" ht="16.5">
      <c r="A5" s="525" t="str">
        <f>VLOOKUP("佐頓庫勒", Data!$B:$D,F1, FALSE)</f>
        <v>佐頓庫勒</v>
      </c>
      <c r="B5" s="681" t="str">
        <f>VLOOKUP("秘密营地", Data!$B:$D,F1, FALSE)</f>
        <v>秘密营地</v>
      </c>
      <c r="C5" s="681" t="str">
        <f>VLOOKUP("愛德莉雅", Data!$B:$D,F1, FALSE)</f>
        <v>愛德莉雅</v>
      </c>
      <c r="D5" s="336" t="s">
        <v>2113</v>
      </c>
      <c r="E5" s="75"/>
    </row>
    <row r="6" spans="1:6" ht="29">
      <c r="A6" s="525" t="str">
        <f>VLOOKUP("哈里發沙爾達的隨想", Data!$B:$D,F1, FALSE)</f>
        <v>哈里發沙爾達的隨想</v>
      </c>
      <c r="B6" s="335" t="str">
        <f>VLOOKUP("達厄古綠洲-沙爾達陵墓", Data!$B:$D,F1, FALSE)</f>
        <v>達厄古綠洲-沙爾達陵墓</v>
      </c>
      <c r="C6" s="335" t="str">
        <f>VLOOKUP("背袋", Data!$B:$D,F1, FALSE)</f>
        <v>背袋</v>
      </c>
      <c r="D6" s="336" t="s">
        <v>6834</v>
      </c>
      <c r="E6" s="75"/>
    </row>
    <row r="7" spans="1:6" ht="29">
      <c r="A7" s="525" t="str">
        <f>VLOOKUP("費祖爾‧阿爾卡扎的承諾", Data!$B:$D,F1, FALSE)</f>
        <v>費祖爾‧阿爾卡扎的承諾</v>
      </c>
      <c r="B7" s="335" t="str">
        <f>VLOOKUP("達厄古綠洲", Data!$B:$D,F1, FALSE)</f>
        <v>達厄古綠洲</v>
      </c>
      <c r="C7" s="335" t="str">
        <f>VLOOKUP("費祖爾", Data!$B:$D,F1, FALSE)</f>
        <v>費祖爾</v>
      </c>
      <c r="D7" s="336" t="s">
        <v>2115</v>
      </c>
      <c r="E7" s="75"/>
    </row>
    <row r="8" spans="1:6" ht="29">
      <c r="A8" s="526" t="str">
        <f>VLOOKUP("艾蓮娜的日誌", Data!$B:$D,F1, FALSE)</f>
        <v>艾蓮娜的日誌</v>
      </c>
      <c r="B8" s="335" t="str">
        <f>VLOOKUP("秘密营地", Data!$B:$D,F1, FALSE)</f>
        <v>秘密营地</v>
      </c>
      <c r="C8" s="335" t="str">
        <f>VLOOKUP("艾蓮娜", Data!$B:$D,F1, FALSE)</f>
        <v>艾蓮娜</v>
      </c>
      <c r="D8" s="335" t="s">
        <v>2117</v>
      </c>
      <c r="E8" s="75"/>
    </row>
    <row r="9" spans="1:6" ht="17.399999999999999" customHeight="1">
      <c r="A9" s="525" t="str">
        <f>VLOOKUP("鐵狼隊長的日誌", Data!$B:$D,F1, FALSE)</f>
        <v>鐵狼隊長的日誌</v>
      </c>
      <c r="B9" s="335" t="str">
        <f>VLOOKUP("奧卡納斯", Data!$B:$D,F1, FALSE)</f>
        <v>奧卡納斯</v>
      </c>
      <c r="C9" s="335" t="str">
        <f>VLOOKUP("鐵狼隊長的屍體", Data!$B:$D,F1, FALSE)</f>
        <v>鐵狼隊長的屍體</v>
      </c>
      <c r="D9" s="336" t="s">
        <v>2119</v>
      </c>
      <c r="E9" s="75"/>
    </row>
    <row r="10" spans="1:6" ht="17.399999999999999" customHeight="1">
      <c r="A10" s="525" t="str">
        <f>VLOOKUP("妙手賊神的傳說", Data!$B:$D,F1, FALSE)</f>
        <v>妙手賊神的傳說</v>
      </c>
      <c r="B10" s="335" t="str">
        <f>VLOOKUP("秘密营地", Data!$B:$D,F1, FALSE)</f>
        <v>秘密营地</v>
      </c>
      <c r="C10" s="335" t="str">
        <f>VLOOKUP("沈老貪",  Data!$B:$D,F1, FALSE)</f>
        <v>沈老貪</v>
      </c>
      <c r="D10" s="336" t="s">
        <v>2121</v>
      </c>
      <c r="E10" s="75"/>
    </row>
    <row r="11" spans="1:6" ht="17.399999999999999" customHeight="1">
      <c r="A11" s="525" t="str">
        <f>VLOOKUP("凱菈的詩歌", Data!$B:$D,F1, FALSE)</f>
        <v>凱菈的詩歌</v>
      </c>
      <c r="B11" s="335" t="str">
        <f>VLOOKUP("秘密营地", Data!$B:$D,F1, FALSE)</f>
        <v>秘密营地</v>
      </c>
      <c r="C11" s="335" t="str">
        <f>VLOOKUP("凱菈", Data!$B:$D,F1, FALSE)</f>
        <v>凱菈</v>
      </c>
      <c r="D11" s="336" t="s">
        <v>2123</v>
      </c>
      <c r="E11" s="75"/>
    </row>
    <row r="12" spans="1:6" ht="17.399999999999999" customHeight="1">
      <c r="A12" s="526" t="str">
        <f>VLOOKUP("達卡布可汗的遺囑", Data!$B:$D,F1, FALSE)</f>
        <v>達卡布可汗的遺囑</v>
      </c>
      <c r="B12" s="335" t="str">
        <f>VLOOKUP("達厄古綠洲-達卡布可汗的陵墓", Data!$B:$D,F1, FALSE)</f>
        <v>達厄古綠洲-達卡布可汗的陵墓</v>
      </c>
      <c r="C12" s="335" t="str">
        <f>VLOOKUP("背袋", Data!$B:$D,F1, FALSE)</f>
        <v>背袋</v>
      </c>
      <c r="D12" s="335" t="s">
        <v>2124</v>
      </c>
      <c r="E12" s="75"/>
    </row>
    <row r="13" spans="1:6" ht="29">
      <c r="A13" s="527" t="str">
        <f>VLOOKUP("菈娜的日记", Data!$B:$D,F1, FALSE)</f>
        <v>菈娜的日记</v>
      </c>
      <c r="B13" s="335" t="str">
        <f>VLOOKUP("黑谷矿坑-遗弃的地窖", Data!$B:$D,F1, FALSE)</f>
        <v>黑谷矿坑-遗弃的地窖</v>
      </c>
      <c r="C13" s="335" t="str">
        <f>VLOOKUP("菈娜", Data!$B:$D,F1, FALSE)</f>
        <v>菈娜</v>
      </c>
      <c r="D13" s="335" t="s">
        <v>2243</v>
      </c>
      <c r="E13" s="75"/>
    </row>
    <row r="14" spans="1:6" ht="16.5">
      <c r="A14" s="525" t="str">
        <f>VLOOKUP("庫勒的日誌：第一篇", Data!$B:$D,F1, FALSE)</f>
        <v>庫勒的日誌：第一篇</v>
      </c>
      <c r="B14" s="335" t="str">
        <f>VLOOKUP("淒涼沙地-刺客地庫", Data!$B:$D,F1, FALSE)</f>
        <v>淒涼沙地-刺客地庫</v>
      </c>
      <c r="C14" s="753" t="str">
        <f>VLOOKUP("佐頓庫勒的日誌", Data!$B:$D,F1, FALSE)</f>
        <v>佐頓庫勒的日誌</v>
      </c>
      <c r="D14" s="336" t="s">
        <v>2127</v>
      </c>
      <c r="E14" s="75"/>
    </row>
    <row r="15" spans="1:6" ht="16.5">
      <c r="A15" s="525" t="str">
        <f>VLOOKUP("庫勒的日誌：第二篇", Data!$B:$D,F1, FALSE)</f>
        <v>庫勒的日誌：第二篇</v>
      </c>
      <c r="B15" s="335" t="str">
        <f>VLOOKUP("淒涼沙地-背叛者洞穴第一層", Data!$B:$D,F1, FALSE)</f>
        <v>淒涼沙地-背叛者洞穴第一層</v>
      </c>
      <c r="C15" s="755"/>
      <c r="D15" s="336" t="s">
        <v>2128</v>
      </c>
      <c r="E15" s="75"/>
    </row>
    <row r="16" spans="1:6" ht="16.5">
      <c r="A16" s="525" t="str">
        <f>VLOOKUP("庫勒的日誌：第三篇", Data!$B:$D,F1, FALSE)</f>
        <v>庫勒的日誌：第三篇</v>
      </c>
      <c r="B16" s="335" t="str">
        <f>VLOOKUP("淒涼沙地-背叛者洞穴第二層", Data!$B:$D,F1, FALSE)</f>
        <v>淒涼沙地-背叛者洞穴第二層</v>
      </c>
      <c r="C16" s="755"/>
      <c r="D16" s="336" t="s">
        <v>2127</v>
      </c>
      <c r="E16" s="75"/>
    </row>
    <row r="17" spans="1:5" ht="16.5">
      <c r="A17" s="525" t="str">
        <f>VLOOKUP("庫勒的日誌：第四篇", Data!$B:$D,F1, FALSE)</f>
        <v>庫勒的日誌：第四篇</v>
      </c>
      <c r="B17" s="335" t="str">
        <f>VLOOKUP("佐敦庫勒秘庫-靈魂石大廳", Data!$B:$D,F1, FALSE)</f>
        <v>佐敦庫勒秘庫-靈魂石大廳</v>
      </c>
      <c r="C17" s="754"/>
      <c r="D17" s="336" t="s">
        <v>2129</v>
      </c>
      <c r="E17" s="75"/>
    </row>
    <row r="18" spans="1:5" ht="16.5">
      <c r="A18" s="525" t="str">
        <f>VLOOKUP("莉亞的卡爾蒂姆日誌：第一篇", Data!$B:$D,F1, FALSE)</f>
        <v>莉亞的卡爾蒂姆日誌：第一篇</v>
      </c>
      <c r="B18" s="753" t="str">
        <f>VLOOKUP("秘密营地", Data!$B:$D,F1, FALSE)</f>
        <v>秘密营地</v>
      </c>
      <c r="C18" s="753" t="str">
        <f>VLOOKUP("莉亞的日誌", Data!$B:$D,F1, FALSE)</f>
        <v>莉亞的日誌</v>
      </c>
      <c r="D18" s="336" t="s">
        <v>2130</v>
      </c>
      <c r="E18" s="75"/>
    </row>
    <row r="19" spans="1:5" ht="16.5">
      <c r="A19" s="527" t="str">
        <f>VLOOKUP("莉亞的卡爾蒂姆日誌：第二篇", Data!$B:$D,F1, FALSE)</f>
        <v>莉亞的卡爾蒂姆日誌：第二篇</v>
      </c>
      <c r="B19" s="755"/>
      <c r="C19" s="755"/>
      <c r="D19" s="336" t="s">
        <v>2131</v>
      </c>
      <c r="E19" s="75"/>
    </row>
    <row r="20" spans="1:5" ht="16.5">
      <c r="A20" s="527" t="str">
        <f>VLOOKUP("莉亞的卡爾蒂姆日誌：第三篇", Data!$B:$D,F1, FALSE)</f>
        <v>莉亞的卡爾蒂姆日誌：第三篇</v>
      </c>
      <c r="B20" s="755"/>
      <c r="C20" s="755"/>
      <c r="D20" s="336" t="s">
        <v>4237</v>
      </c>
      <c r="E20" s="75"/>
    </row>
    <row r="21" spans="1:5" ht="16.5">
      <c r="A21" s="527" t="str">
        <f>VLOOKUP("莉亞的卡爾蒂姆日誌：第四篇", Data!$B:$D,F1, FALSE)</f>
        <v>莉亞的卡爾蒂姆日誌：第四篇</v>
      </c>
      <c r="B21" s="755"/>
      <c r="C21" s="755"/>
      <c r="D21" s="336" t="s">
        <v>4236</v>
      </c>
      <c r="E21" s="75"/>
    </row>
    <row r="22" spans="1:5" ht="16.5">
      <c r="A22" s="527" t="str">
        <f>VLOOKUP("莉亞的卡爾蒂姆日誌：第五篇", Data!$B:$D,F1, FALSE)</f>
        <v>莉亞的卡爾蒂姆日誌：第五篇</v>
      </c>
      <c r="B22" s="754"/>
      <c r="C22" s="754"/>
      <c r="D22" s="336" t="s">
        <v>2132</v>
      </c>
      <c r="E22" s="75"/>
    </row>
    <row r="23" spans="1:5" ht="16.5">
      <c r="A23" s="527" t="str">
        <f>VLOOKUP("怨慟女王：安達莉爾", Data!$B:$D,F1, FALSE)</f>
        <v>怨慟女王：安達莉爾</v>
      </c>
      <c r="B23" s="753" t="str">
        <f>VLOOKUP("嚎泣高原-秘密祭坛", Data!$B:$D,F1, FALSE)
&amp;CHAR(10)&amp;VLOOKUP("嚎泣高原-隐秘会所", Data!$B:$D,F1, FALSE)
&amp;CHAR(10)&amp;VLOOKUP("刺風沙漠", Data!$B:$D,F1, FALSE)
&amp;CHAR(10)&amp;VLOOKUP("達厄古綠洲", Data!$B:$D,F1, FALSE)
&amp;CHAR(10)&amp;VLOOKUP("卡爾蒂姆市集-廢棄水道", Data!$B:$D,F1, FALSE)
&amp;CHAR(10)&amp;"…"</f>
        <v>嚎泣高原-秘密祭坛
嚎泣高原-隐秘会所
刺風沙漠
達厄古綠洲
卡爾蒂姆市集-廢棄水道
…</v>
      </c>
      <c r="C23" s="753" t="str">
        <f>VLOOKUP("凱恩遺失的背包", Data!$B:$D,F1, FALSE)</f>
        <v>凱恩遺失的背包</v>
      </c>
      <c r="D23" s="753" t="s">
        <v>2134</v>
      </c>
      <c r="E23" s="75"/>
    </row>
    <row r="24" spans="1:5" ht="16.5">
      <c r="A24" s="527" t="str">
        <f>VLOOKUP("罪惡之王：阿茲莫丹", Data!$B:$D,F1, FALSE)</f>
        <v>罪惡之王：阿茲莫丹</v>
      </c>
      <c r="B24" s="755"/>
      <c r="C24" s="755"/>
      <c r="D24" s="755"/>
      <c r="E24" s="75"/>
    </row>
    <row r="25" spans="1:5" ht="16.5">
      <c r="A25" s="527" t="str">
        <f>VLOOKUP("毀滅之王：巴爾", Data!$B:$D,F1, FALSE)</f>
        <v>毀滅之王：巴爾</v>
      </c>
      <c r="B25" s="755"/>
      <c r="C25" s="755"/>
      <c r="D25" s="755"/>
      <c r="E25" s="75"/>
    </row>
    <row r="26" spans="1:5" ht="16.5">
      <c r="A26" s="527" t="str">
        <f>VLOOKUP("謊言之王：彼列", Data!$B:$D,F1, FALSE)</f>
        <v>謊言之王：彼列</v>
      </c>
      <c r="B26" s="755"/>
      <c r="C26" s="755"/>
      <c r="D26" s="755"/>
      <c r="E26" s="75"/>
    </row>
    <row r="27" spans="1:5" ht="16.5">
      <c r="A27" s="527" t="str">
        <f>VLOOKUP("恐懼之王：迪亞布羅", Data!$B:$D,F1, FALSE)</f>
        <v>恐懼之王：迪亞布羅</v>
      </c>
      <c r="B27" s="755"/>
      <c r="C27" s="755"/>
      <c r="D27" s="755"/>
      <c r="E27" s="75"/>
    </row>
    <row r="28" spans="1:5" ht="16.5">
      <c r="A28" s="527" t="str">
        <f>VLOOKUP("苦痛之王：都瑞爾", Data!$B:$D,F1, FALSE)</f>
        <v>苦痛之王：都瑞爾</v>
      </c>
      <c r="B28" s="755"/>
      <c r="C28" s="755"/>
      <c r="D28" s="755"/>
      <c r="E28" s="75"/>
    </row>
    <row r="29" spans="1:5" ht="16.5">
      <c r="A29" s="527" t="str">
        <f>VLOOKUP("地獄七魔王", Data!$B:$D,F1, FALSE)</f>
        <v>地獄七魔王</v>
      </c>
      <c r="B29" s="755"/>
      <c r="C29" s="755"/>
      <c r="D29" s="755"/>
      <c r="E29" s="75"/>
    </row>
    <row r="30" spans="1:5" ht="16.5">
      <c r="A30" s="527" t="str">
        <f>VLOOKUP("憎恨之王：墨菲斯托", Data!$B:$D,F1, FALSE)</f>
        <v>憎恨之王：墨菲斯托</v>
      </c>
      <c r="B30" s="754"/>
      <c r="C30" s="754"/>
      <c r="D30" s="754"/>
      <c r="E30" s="75"/>
    </row>
    <row r="31" spans="1:5" ht="17.399999999999999" customHeight="1">
      <c r="A31" s="527" t="str">
        <f>VLOOKUP("一封情書", Data!$B:$D,F1, FALSE)</f>
        <v>一封情書</v>
      </c>
      <c r="B31" s="335" t="str">
        <f>VLOOKUP("達厄古綠洲", Data!$B:$D,F1, FALSE)</f>
        <v>達厄古綠洲</v>
      </c>
      <c r="C31" s="335" t="str">
        <f>VLOOKUP("紀念品箱", Data!$B:$D,F1, FALSE)</f>
        <v>紀念品箱</v>
      </c>
      <c r="D31" s="681" t="s">
        <v>2136</v>
      </c>
      <c r="E31" s="75"/>
    </row>
    <row r="32" spans="1:5" ht="16.5">
      <c r="A32" s="527" t="str">
        <f>VLOOKUP("死靈法師的日誌", Data!$B:$D,F1, FALSE)</f>
        <v>死靈法師的日誌</v>
      </c>
      <c r="B32" s="335" t="str">
        <f>VLOOKUP("刺風沙漠", Data!$B:$D,F1, FALSE)</f>
        <v>刺風沙漠</v>
      </c>
      <c r="C32" s="335"/>
      <c r="D32" s="681" t="s">
        <v>2137</v>
      </c>
      <c r="E32" s="75"/>
    </row>
    <row r="33" spans="1:5" ht="17.399999999999999" customHeight="1">
      <c r="A33" s="527" t="str">
        <f>VLOOKUP("帝國衛兵的命令", Data!$B:$D,F1, FALSE)</f>
        <v>帝國衛兵的命令</v>
      </c>
      <c r="B33" s="335" t="str">
        <f>VLOOKUP("達厄古綠洲-腐朽地窖", Data!$B:$D,F1, FALSE)</f>
        <v>達厄古綠洲-腐朽地窖</v>
      </c>
      <c r="C33" s="335"/>
      <c r="D33" s="681" t="s">
        <v>2138</v>
      </c>
      <c r="E33" s="75"/>
    </row>
    <row r="34" spans="1:5" ht="16.5">
      <c r="A34" s="527" t="str">
        <f>VLOOKUP("破碎的日誌", Data!$B:$D,F1, FALSE)</f>
        <v>破碎的日誌</v>
      </c>
      <c r="B34" s="335" t="str">
        <f>VLOOKUP("淒涼沙地", Data!$B:$D,F1, FALSE)</f>
        <v>淒涼沙地</v>
      </c>
      <c r="C34" s="335" t="str">
        <f>VLOOKUP("骨骸", Data!$B:$D,F1, FALSE)</f>
        <v>骨骸</v>
      </c>
      <c r="D34" s="336" t="s">
        <v>6463</v>
      </c>
      <c r="E34" s="75"/>
    </row>
    <row r="35" spans="1:5" ht="17.399999999999999" customHeight="1">
      <c r="A35" s="527" t="str">
        <f>VLOOKUP("波爾塔赫的筆記", Data!$B:$D,F1, FALSE)</f>
        <v>波爾塔赫的筆記</v>
      </c>
      <c r="B35" s="335" t="str">
        <f>VLOOKUP("刺風沙漠-失落塑像之室", Data!$B:$D,F1, FALSE)</f>
        <v>刺風沙漠-失落塑像之室</v>
      </c>
      <c r="C35" s="335" t="str">
        <f>VLOOKUP("波爾塔赫的背袋", Data!$B:$D,F1, FALSE)</f>
        <v>波爾塔赫的背袋</v>
      </c>
      <c r="D35" s="336" t="s">
        <v>2141</v>
      </c>
      <c r="E35" s="75"/>
    </row>
    <row r="36" spans="1:5" ht="16.5">
      <c r="A36" s="527" t="str">
        <f>VLOOKUP("林多的日誌", Data!$B:$D,F1, FALSE)</f>
        <v>林多的日誌</v>
      </c>
      <c r="B36" s="335" t="str">
        <f>VLOOKUP("淒涼沙地", Data!$B:$D,F1, FALSE)</f>
        <v>淒涼沙地</v>
      </c>
      <c r="C36" s="335" t="str">
        <f>VLOOKUP("背袋", Data!$B:$D,F1, FALSE)</f>
        <v>背袋</v>
      </c>
      <c r="D36" s="336" t="s">
        <v>2142</v>
      </c>
      <c r="E36" s="75"/>
    </row>
    <row r="37" spans="1:5" ht="30" customHeight="1">
      <c r="A37" s="527" t="str">
        <f>VLOOKUP("焦黑的日誌", Data!$B:$D,F1, FALSE)</f>
        <v>焦黑的日誌</v>
      </c>
      <c r="B37" s="335" t="str">
        <f>VLOOKUP("卡爾蒂姆市集", Data!$B:$D,F1, FALSE)</f>
        <v>卡爾蒂姆市集</v>
      </c>
      <c r="C37" s="335" t="str">
        <f>VLOOKUP("焦黑的铁狼卫士", Data!$B:$D,F1, FALSE)</f>
        <v>焦黑的铁狼卫士</v>
      </c>
      <c r="D37" s="336" t="s">
        <v>2144</v>
      </c>
      <c r="E37" s="75"/>
    </row>
    <row r="38" spans="1:5" ht="16.5">
      <c r="A38" s="527" t="str">
        <f>VLOOKUP("僕人的日誌", Data!$B:$D,F1, FALSE)</f>
        <v>僕人的日誌</v>
      </c>
      <c r="B38" s="335" t="str">
        <f>VLOOKUP("卡爾蒂姆市集", Data!$B:$D,F1, FALSE)</f>
        <v>卡爾蒂姆市集</v>
      </c>
      <c r="C38" s="335" t="str">
        <f>VLOOKUP("扭曲的屍體", Data!$B:$D,F1, FALSE)</f>
        <v>扭曲的屍體</v>
      </c>
      <c r="D38" s="336" t="s">
        <v>2146</v>
      </c>
      <c r="E38" s="75"/>
    </row>
    <row r="39" spans="1:5" ht="15.5" thickBot="1">
      <c r="A39" s="521"/>
      <c r="B39" s="169"/>
      <c r="C39" s="169"/>
      <c r="D39" s="169"/>
    </row>
    <row r="40" spans="1:5" ht="21.5" thickBot="1">
      <c r="A40" s="734" t="str">
        <f>VLOOKUP("隔牆有耳", Data!$B:$D,F1, FALSE)</f>
        <v>隔牆有耳</v>
      </c>
      <c r="B40" s="735"/>
      <c r="C40" s="735"/>
      <c r="D40" s="736"/>
    </row>
    <row r="41" spans="1:5">
      <c r="A41" s="490" t="s">
        <v>2289</v>
      </c>
      <c r="B41" s="491" t="s">
        <v>2290</v>
      </c>
      <c r="C41" s="492" t="s">
        <v>2291</v>
      </c>
      <c r="D41" s="493" t="s">
        <v>2292</v>
      </c>
      <c r="E41" s="1"/>
    </row>
    <row r="42" spans="1:5">
      <c r="A42" s="528" t="str">
        <f>VLOOKUP("衛兵的命令", Data!$B:$D,F1, FALSE)</f>
        <v>衛兵的命令</v>
      </c>
      <c r="B42" s="335" t="str">
        <f>VLOOKUP("卡辛姆哨站", Data!$B:$D,F1, FALSE)</f>
        <v>卡辛姆哨站</v>
      </c>
      <c r="C42" s="335" t="str">
        <f>VLOOKUP("帝國衛兵的補給品", Data!$B:$D,F1, FALSE)</f>
        <v>帝國衛兵的補給品</v>
      </c>
      <c r="D42" s="336" t="s">
        <v>2149</v>
      </c>
    </row>
    <row r="43" spans="1:5">
      <c r="A43" s="528" t="str">
        <f>VLOOKUP("帝國衛兵的公告", Data!$B:$D,F1, FALSE)</f>
        <v>帝國衛兵的公告</v>
      </c>
      <c r="B43" s="335" t="str">
        <f>VLOOKUP("卡爾蒂姆市集", Data!$B:$D,F1, FALSE)</f>
        <v>卡爾蒂姆市集</v>
      </c>
      <c r="C43" s="335" t="str">
        <f>VLOOKUP("帝國衛兵的行囊", Data!$B:$D,F1, FALSE)</f>
        <v>帝國衛兵的行囊</v>
      </c>
      <c r="D43" s="336" t="s">
        <v>2151</v>
      </c>
    </row>
    <row r="44" spans="1:5">
      <c r="A44" s="528" t="str">
        <f>VLOOKUP("給瑪格妲的書信之一", Data!$B:$D,F1, FALSE)</f>
        <v>給瑪格妲的書信之一</v>
      </c>
      <c r="B44" s="335" t="str">
        <f>VLOOKUP("嚎泣高原-隐秘会所", Data!$B:$D,F1, FALSE)</f>
        <v>嚎泣高原-隐秘会所</v>
      </c>
      <c r="C44" s="753" t="str">
        <f>VLOOKUP("受到折磨的教徒信使", Data!$B:$D,F1, FALSE)</f>
        <v>受到折磨的教徒信使</v>
      </c>
      <c r="D44" s="336" t="s">
        <v>2153</v>
      </c>
    </row>
    <row r="45" spans="1:5">
      <c r="A45" s="528" t="str">
        <f>VLOOKUP("給瑪格妲的書信之二", Data!$B:$D,F1, FALSE)</f>
        <v>給瑪格妲的書信之二</v>
      </c>
      <c r="B45" s="335" t="str">
        <f>VLOOKUP("奧卡納斯", Data!$B:$D,F1, FALSE)</f>
        <v>奧卡納斯</v>
      </c>
      <c r="C45" s="754"/>
      <c r="D45" s="336" t="s">
        <v>2063</v>
      </c>
    </row>
    <row r="46" spans="1:5">
      <c r="A46" s="528" t="str">
        <f>VLOOKUP("魅影怪的命令之一", Data!$B:$D,F1, FALSE)</f>
        <v>魅影怪的命令之一</v>
      </c>
      <c r="B46" s="335" t="str">
        <f>VLOOKUP("卡爾蒂姆下水道", Data!$B:$D,F1, FALSE)</f>
        <v>卡爾蒂姆下水道</v>
      </c>
      <c r="C46" s="753" t="str">
        <f>VLOOKUP("彼列使者", Data!$B:$D,F1, FALSE)</f>
        <v>彼列使者</v>
      </c>
      <c r="D46" s="753" t="s">
        <v>2063</v>
      </c>
    </row>
    <row r="47" spans="1:5">
      <c r="A47" s="528" t="str">
        <f>VLOOKUP("魅影怪的命令之二", Data!$B:$D,F1, FALSE)</f>
        <v>魅影怪的命令之二</v>
      </c>
      <c r="B47" s="335" t="str">
        <f>VLOOKUP("達厄古綠洲", Data!$B:$D,F1, FALSE)</f>
        <v>達厄古綠洲</v>
      </c>
      <c r="C47" s="755"/>
      <c r="D47" s="755"/>
    </row>
    <row r="48" spans="1:5">
      <c r="A48" s="528" t="str">
        <f>VLOOKUP("魅影怪的命令之三", Data!$B:$D,F1, FALSE)</f>
        <v>魅影怪的命令之三</v>
      </c>
      <c r="B48" s="335" t="str">
        <f>VLOOKUP("淒涼沙地", Data!$B:$D,F1, FALSE)</f>
        <v>淒涼沙地</v>
      </c>
      <c r="C48" s="754"/>
      <c r="D48" s="754"/>
    </row>
    <row r="49" spans="1:5" ht="30" customHeight="1">
      <c r="A49" s="528" t="str">
        <f>VLOOKUP("令人畏懼的英雄", Data!$B:$D,F1, FALSE)</f>
        <v>令人畏懼的英雄</v>
      </c>
      <c r="B49" s="335" t="str">
        <f>VLOOKUP("刺風沙漠", Data!$B:$D,F1, FALSE)</f>
        <v>刺風沙漠</v>
      </c>
      <c r="C49" s="335" t="str">
        <f>VLOOKUP("背袋", Data!$B:$D,F1, FALSE)</f>
        <v>背袋</v>
      </c>
      <c r="D49" s="681" t="s">
        <v>2155</v>
      </c>
    </row>
    <row r="50" spans="1:5">
      <c r="A50" s="528" t="str">
        <f>VLOOKUP("獵人的日誌：第一篇", Data!$B:$D,F1, FALSE)</f>
        <v>獵人的日誌：第一篇</v>
      </c>
      <c r="B50" s="335" t="str">
        <f>VLOOKUP("達厄古綠洲-遺忘廢墟", Data!$B:$D,F1, FALSE)</f>
        <v>達厄古綠洲-遺忘廢墟</v>
      </c>
      <c r="C50" s="753" t="str">
        <f>VLOOKUP("獵人的背包", Data!$B:$D,F1, FALSE)</f>
        <v>獵人的背包</v>
      </c>
      <c r="D50" s="336" t="s">
        <v>2063</v>
      </c>
    </row>
    <row r="51" spans="1:5">
      <c r="A51" s="528" t="str">
        <f>VLOOKUP("獵人的日誌：第二篇", Data!$B:$D,F1, FALSE)</f>
        <v>獵人的日誌：第二篇</v>
      </c>
      <c r="B51" s="335" t="str">
        <f>VLOOKUP("西側水道", Data!$B:$D,F1, FALSE)</f>
        <v>西側水道</v>
      </c>
      <c r="C51" s="755"/>
      <c r="D51" s="336" t="s">
        <v>2063</v>
      </c>
    </row>
    <row r="52" spans="1:5">
      <c r="A52" s="528" t="str">
        <f>VLOOKUP("獵人的日誌：第三篇", Data!$B:$D,F1, FALSE)</f>
        <v>獵人的日誌：第三篇</v>
      </c>
      <c r="B52" s="335" t="str">
        <f>VLOOKUP("淒涼沙地", Data!$B:$D,F1, FALSE)</f>
        <v>淒涼沙地</v>
      </c>
      <c r="C52" s="755"/>
      <c r="D52" s="336" t="s">
        <v>2157</v>
      </c>
    </row>
    <row r="53" spans="1:5">
      <c r="A53" s="528" t="str">
        <f>VLOOKUP("獵人的日誌：第四篇", Data!$B:$D,F1, FALSE)</f>
        <v>獵人的日誌：第四篇</v>
      </c>
      <c r="B53" s="335" t="str">
        <f>VLOOKUP("佐敦庫勒秘庫-風暴長廊", Data!$B:$D,F1, FALSE)</f>
        <v>佐敦庫勒秘庫-風暴長廊</v>
      </c>
      <c r="C53" s="755"/>
      <c r="D53" s="336" t="s">
        <v>2158</v>
      </c>
    </row>
    <row r="54" spans="1:5">
      <c r="A54" s="528" t="str">
        <f>VLOOKUP("獵人的日誌：第五篇", Data!$B:$D,F1, FALSE)</f>
        <v>獵人的日誌：第五篇</v>
      </c>
      <c r="B54" s="335" t="str">
        <f>VLOOKUP("佐敦庫勒秘庫-未知深境", Data!$B:$D,F1, FALSE)</f>
        <v>佐敦庫勒秘庫-未知深境</v>
      </c>
      <c r="C54" s="754"/>
      <c r="D54" s="336" t="s">
        <v>2158</v>
      </c>
    </row>
    <row r="55" spans="1:5">
      <c r="A55" s="528" t="str">
        <f>VLOOKUP("獵人的日誌：第六篇", Data!$B:$D,F1, FALSE)</f>
        <v>獵人的日誌：第六篇</v>
      </c>
      <c r="B55" s="335" t="str">
        <f>VLOOKUP("佐敦庫勒秘庫-暗影之境", Data!$B:$D,F1, FALSE)</f>
        <v>佐敦庫勒秘庫-暗影之境</v>
      </c>
      <c r="C55" s="335"/>
      <c r="D55" s="336" t="s">
        <v>2159</v>
      </c>
    </row>
    <row r="56" spans="1:5" ht="15.5" thickBot="1">
      <c r="A56" s="521"/>
      <c r="B56" s="169"/>
      <c r="C56" s="169"/>
      <c r="D56" s="169"/>
    </row>
    <row r="57" spans="1:5" ht="21.5" thickBot="1">
      <c r="A57" s="734" t="str">
        <f>VLOOKUP("卡爾蒂姆史學家", Data!$B:$D,F1, FALSE)</f>
        <v>卡爾蒂姆史學家</v>
      </c>
      <c r="B57" s="735"/>
      <c r="C57" s="735"/>
      <c r="D57" s="736"/>
    </row>
    <row r="58" spans="1:5">
      <c r="A58" s="490" t="s">
        <v>2289</v>
      </c>
      <c r="B58" s="491" t="s">
        <v>2290</v>
      </c>
      <c r="C58" s="492" t="s">
        <v>2291</v>
      </c>
      <c r="D58" s="493" t="s">
        <v>2292</v>
      </c>
      <c r="E58" s="1"/>
    </row>
    <row r="59" spans="1:5">
      <c r="A59" s="528" t="str">
        <f>VLOOKUP("沙漠渠道：第一篇", Data!$B:$D,F1, FALSE)</f>
        <v>沙漠渠道：第一篇</v>
      </c>
      <c r="B59" s="753" t="str">
        <f>VLOOKUP("西側水道", Data!$B:$D,F1, FALSE)
&amp;CHAR(10)&amp;VLOOKUP("東側水道", Data!$B:$D,F1, FALSE)</f>
        <v>西側水道
東側水道</v>
      </c>
      <c r="C59" s="753" t="str">
        <f>VLOOKUP("背袋", Data!$B:$D,F1, FALSE)</f>
        <v>背袋</v>
      </c>
      <c r="D59" s="753" t="s">
        <v>2063</v>
      </c>
    </row>
    <row r="60" spans="1:5">
      <c r="A60" s="528" t="str">
        <f>VLOOKUP("沙漠渠道：第二篇", Data!$B:$D,F1, FALSE)</f>
        <v>沙漠渠道：第二篇</v>
      </c>
      <c r="B60" s="754"/>
      <c r="C60" s="754"/>
      <c r="D60" s="754"/>
    </row>
    <row r="61" spans="1:5">
      <c r="A61" s="528" t="str">
        <f>VLOOKUP("卡爾蒂姆簡史：第一篇", Data!$B:$D,F1, FALSE)</f>
        <v>卡爾蒂姆簡史：第一篇</v>
      </c>
      <c r="B61" s="753" t="str">
        <f>VLOOKUP("卡爾蒂姆市集-灼沙旅店", Data!$B:$D,F1, FALSE)</f>
        <v>卡爾蒂姆市集-灼沙旅店</v>
      </c>
      <c r="C61" s="753" t="str">
        <f>VLOOKUP("哈茲爾的厚重书本", Data!$B:$D,F1, FALSE)</f>
        <v>哈茲爾的厚重书本</v>
      </c>
      <c r="D61" s="753" t="s">
        <v>2161</v>
      </c>
    </row>
    <row r="62" spans="1:5">
      <c r="A62" s="528" t="str">
        <f>VLOOKUP("卡爾蒂姆簡史：第二篇", Data!$B:$D,F1, FALSE)</f>
        <v>卡爾蒂姆簡史：第二篇</v>
      </c>
      <c r="B62" s="755"/>
      <c r="C62" s="755"/>
      <c r="D62" s="755"/>
    </row>
    <row r="63" spans="1:5">
      <c r="A63" s="528" t="str">
        <f>VLOOKUP("卡爾蒂姆簡史：第三篇", Data!$B:$D,F1, FALSE)</f>
        <v>卡爾蒂姆簡史：第三篇</v>
      </c>
      <c r="B63" s="755"/>
      <c r="C63" s="755"/>
      <c r="D63" s="755"/>
    </row>
    <row r="64" spans="1:5">
      <c r="A64" s="528" t="str">
        <f>VLOOKUP("卡爾蒂姆簡史：第四篇", Data!$B:$D,F1, FALSE)</f>
        <v>卡爾蒂姆簡史：第四篇</v>
      </c>
      <c r="B64" s="755"/>
      <c r="C64" s="755"/>
      <c r="D64" s="755"/>
    </row>
    <row r="65" spans="1:4">
      <c r="A65" s="528" t="str">
        <f>VLOOKUP("卡爾蒂姆簡史：第五篇", Data!$B:$D,F1, FALSE)</f>
        <v>卡爾蒂姆簡史：第五篇</v>
      </c>
      <c r="B65" s="755"/>
      <c r="C65" s="755"/>
      <c r="D65" s="755"/>
    </row>
    <row r="66" spans="1:4">
      <c r="A66" s="528" t="str">
        <f>VLOOKUP("卡爾蒂姆簡史：第六篇", Data!$B:$D,F1, FALSE)</f>
        <v>卡爾蒂姆簡史：第六篇</v>
      </c>
      <c r="B66" s="754"/>
      <c r="C66" s="754"/>
      <c r="D66" s="754"/>
    </row>
    <row r="67" spans="1:4">
      <c r="A67" s="528" t="str">
        <f>VLOOKUP("達厄古綠洲 ", Data!$B:$D,F1, FALSE)</f>
        <v xml:space="preserve">達厄古綠洲 </v>
      </c>
      <c r="B67" s="335" t="str">
        <f>VLOOKUP("達厄古綠洲", Data!$B:$D,F1, FALSE)</f>
        <v>達厄古綠洲</v>
      </c>
      <c r="C67" s="335" t="str">
        <f>VLOOKUP("紀念品箱", Data!$B:$D,F1, FALSE)</f>
        <v>紀念品箱</v>
      </c>
      <c r="D67" s="336" t="s">
        <v>2162</v>
      </c>
    </row>
    <row r="68" spans="1:4">
      <c r="A68" s="528" t="str">
        <f>VLOOKUP("淒涼沙地：第一篇", Data!$B:$D,F1, FALSE)</f>
        <v>淒涼沙地：第一篇</v>
      </c>
      <c r="B68" s="753" t="str">
        <f>VLOOKUP("淒涼沙地", Data!$B:$D,F1, FALSE)</f>
        <v>淒涼沙地</v>
      </c>
      <c r="C68" s="753" t="str">
        <f>VLOOKUP("旅人小包", Data!$B:$D,F1, FALSE)</f>
        <v>旅人小包</v>
      </c>
      <c r="D68" s="753" t="s">
        <v>2164</v>
      </c>
    </row>
    <row r="69" spans="1:4">
      <c r="A69" s="528" t="str">
        <f>VLOOKUP("淒涼沙地：第二篇", Data!$B:$D,F1, FALSE)</f>
        <v>淒涼沙地：第二篇</v>
      </c>
      <c r="B69" s="755"/>
      <c r="C69" s="755"/>
      <c r="D69" s="755"/>
    </row>
    <row r="70" spans="1:4">
      <c r="A70" s="528" t="str">
        <f>VLOOKUP("淒涼沙地：第三篇", Data!$B:$D,F1, FALSE)</f>
        <v>淒涼沙地：第三篇</v>
      </c>
      <c r="B70" s="754"/>
      <c r="C70" s="754"/>
      <c r="D70" s="754"/>
    </row>
    <row r="71" spans="1:4" ht="17.399999999999999" customHeight="1">
      <c r="A71" s="528" t="str">
        <f>VLOOKUP("眾面之室", Data!$B:$D,F1, FALSE)</f>
        <v>眾面之室</v>
      </c>
      <c r="B71" s="335" t="str">
        <f>VLOOKUP("達厄古綠洲", Data!$B:$D,F1, FALSE)</f>
        <v>達厄古綠洲</v>
      </c>
      <c r="C71" s="335" t="str">
        <f>VLOOKUP("鐵狼衛士的背袋", Data!$B:$D,F1, FALSE)</f>
        <v>鐵狼衛士的背袋</v>
      </c>
      <c r="D71" s="336" t="s">
        <v>2166</v>
      </c>
    </row>
    <row r="72" spans="1:4" ht="15.5" thickBot="1">
      <c r="A72" s="524"/>
      <c r="B72" s="171"/>
      <c r="C72" s="171"/>
      <c r="D72" s="171"/>
    </row>
    <row r="73" spans="1:4" ht="15.5" thickBot="1">
      <c r="A73" s="743" t="s">
        <v>538</v>
      </c>
      <c r="B73" s="744"/>
      <c r="C73" s="744"/>
      <c r="D73" s="745"/>
    </row>
    <row r="74" spans="1:4">
      <c r="A74" s="756" t="s">
        <v>539</v>
      </c>
      <c r="B74" s="757"/>
      <c r="C74" s="757"/>
      <c r="D74" s="758"/>
    </row>
    <row r="75" spans="1:4">
      <c r="A75" s="746" t="s">
        <v>540</v>
      </c>
      <c r="B75" s="747"/>
      <c r="C75" s="747"/>
      <c r="D75" s="748"/>
    </row>
    <row r="76" spans="1:4">
      <c r="A76" s="746" t="s">
        <v>541</v>
      </c>
      <c r="B76" s="747"/>
      <c r="C76" s="747"/>
      <c r="D76" s="748"/>
    </row>
    <row r="77" spans="1:4">
      <c r="A77" s="746" t="s">
        <v>542</v>
      </c>
      <c r="B77" s="747"/>
      <c r="C77" s="747"/>
      <c r="D77" s="748"/>
    </row>
    <row r="78" spans="1:4">
      <c r="A78" s="746" t="s">
        <v>543</v>
      </c>
      <c r="B78" s="747"/>
      <c r="C78" s="747"/>
      <c r="D78" s="748"/>
    </row>
    <row r="79" spans="1:4">
      <c r="A79" s="746" t="s">
        <v>2106</v>
      </c>
      <c r="B79" s="747"/>
      <c r="C79" s="747"/>
      <c r="D79" s="748"/>
    </row>
    <row r="80" spans="1:4" ht="15.5" thickBot="1">
      <c r="A80" s="740" t="s">
        <v>2107</v>
      </c>
      <c r="B80" s="741"/>
      <c r="C80" s="741"/>
      <c r="D80" s="742"/>
    </row>
  </sheetData>
  <mergeCells count="30">
    <mergeCell ref="A57:D57"/>
    <mergeCell ref="A2:D2"/>
    <mergeCell ref="C14:C17"/>
    <mergeCell ref="B18:B22"/>
    <mergeCell ref="C18:C22"/>
    <mergeCell ref="B23:B30"/>
    <mergeCell ref="C23:C30"/>
    <mergeCell ref="D23:D30"/>
    <mergeCell ref="A40:D40"/>
    <mergeCell ref="C44:C45"/>
    <mergeCell ref="C46:C48"/>
    <mergeCell ref="D46:D48"/>
    <mergeCell ref="C50:C54"/>
    <mergeCell ref="A75:D75"/>
    <mergeCell ref="B59:B60"/>
    <mergeCell ref="C59:C60"/>
    <mergeCell ref="D59:D60"/>
    <mergeCell ref="B61:B66"/>
    <mergeCell ref="C61:C66"/>
    <mergeCell ref="D61:D66"/>
    <mergeCell ref="B68:B70"/>
    <mergeCell ref="C68:C70"/>
    <mergeCell ref="D68:D70"/>
    <mergeCell ref="A73:D73"/>
    <mergeCell ref="A74:D74"/>
    <mergeCell ref="A76:D76"/>
    <mergeCell ref="A77:D77"/>
    <mergeCell ref="A78:D78"/>
    <mergeCell ref="A79:D79"/>
    <mergeCell ref="A80:D80"/>
  </mergeCells>
  <phoneticPr fontId="7" type="noConversion"/>
  <dataValidations count="1">
    <dataValidation type="list" allowBlank="1" showInputMessage="1" showErrorMessage="1" sqref="E1" xr:uid="{00000000-0002-0000-0800-000000000000}">
      <formula1>"繁體中文,简体中文"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说明</vt:lpstr>
      <vt:lpstr>紫</vt:lpstr>
      <vt:lpstr>周年活动紫怪</vt:lpstr>
      <vt:lpstr>STD金</vt:lpstr>
      <vt:lpstr>STD蓝</vt:lpstr>
      <vt:lpstr>HC金</vt:lpstr>
      <vt:lpstr>HC蓝</vt:lpstr>
      <vt:lpstr>A1书籍</vt:lpstr>
      <vt:lpstr>A2书籍</vt:lpstr>
      <vt:lpstr>A3书籍</vt:lpstr>
      <vt:lpstr>A4书籍</vt:lpstr>
      <vt:lpstr>A5书籍</vt:lpstr>
      <vt:lpstr>A1A2A3事件</vt:lpstr>
      <vt:lpstr>A5事件</vt:lpstr>
      <vt:lpstr>锻造材料</vt:lpstr>
      <vt:lpstr>锻造材料图标</vt:lpstr>
      <vt:lpstr>诅咒</vt:lpstr>
      <vt:lpstr>对话</vt:lpstr>
      <vt:lpstr>对话节点</vt:lpstr>
      <vt:lpstr>大地图</vt:lpstr>
      <vt:lpstr>悬赏任务</vt:lpstr>
      <vt:lpstr>套装地城</vt:lpstr>
      <vt:lpstr>Data</vt:lpstr>
      <vt:lpstr>SetDungData</vt:lpstr>
      <vt:lpstr>公式生成器</vt:lpstr>
      <vt:lpstr>BountyData</vt:lpstr>
      <vt:lpstr>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zbyxzh</dc:creator>
  <cp:lastModifiedBy>成刚 龚</cp:lastModifiedBy>
  <dcterms:created xsi:type="dcterms:W3CDTF">2012-06-10T04:09:06Z</dcterms:created>
  <dcterms:modified xsi:type="dcterms:W3CDTF">2025-06-28T14:38:24Z</dcterms:modified>
</cp:coreProperties>
</file>